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600" windowHeight="10215" activeTab="5"/>
  </bookViews>
  <sheets>
    <sheet name="прил.1" sheetId="62" r:id="rId1"/>
    <sheet name="прил.3" sheetId="1" r:id="rId2"/>
    <sheet name="прил.4" sheetId="2" r:id="rId3"/>
    <sheet name="прил.5" sheetId="71" r:id="rId4"/>
    <sheet name="прил.6" sheetId="3" r:id="rId5"/>
    <sheet name="прил.7" sheetId="73" r:id="rId6"/>
  </sheets>
  <definedNames>
    <definedName name="_xlnm.Print_Titles" localSheetId="1">прил.3!$22:$25</definedName>
    <definedName name="_xlnm.Print_Titles" localSheetId="2">прил.4!$21:$24</definedName>
    <definedName name="_xlnm.Print_Titles" localSheetId="3">прил.5!$22:$25</definedName>
    <definedName name="_xlnm.Print_Titles" localSheetId="4">прил.6!$22:$25</definedName>
  </definedNames>
  <calcPr calcId="145621"/>
</workbook>
</file>

<file path=xl/calcChain.xml><?xml version="1.0" encoding="utf-8"?>
<calcChain xmlns="http://schemas.openxmlformats.org/spreadsheetml/2006/main">
  <c r="D41" i="3" l="1"/>
  <c r="E44" i="1"/>
  <c r="F160" i="71"/>
  <c r="F174" i="71"/>
  <c r="F172" i="71"/>
  <c r="F162" i="71"/>
  <c r="F176" i="71"/>
  <c r="F182" i="71"/>
  <c r="H171" i="2"/>
  <c r="H186" i="2"/>
  <c r="H173" i="2"/>
  <c r="H189" i="2"/>
  <c r="H196" i="2"/>
  <c r="G185" i="71" l="1"/>
  <c r="H185" i="71"/>
  <c r="F185" i="71"/>
  <c r="I199" i="2"/>
  <c r="J199" i="2"/>
  <c r="H199" i="2"/>
  <c r="E43" i="1" l="1"/>
  <c r="F154" i="71"/>
  <c r="H164" i="2"/>
  <c r="D35" i="3" l="1"/>
  <c r="F564" i="71"/>
  <c r="H399" i="2"/>
  <c r="G72" i="71" l="1"/>
  <c r="H72" i="71"/>
  <c r="F73" i="71"/>
  <c r="F72" i="71" s="1"/>
  <c r="I74" i="2"/>
  <c r="J74" i="2"/>
  <c r="H75" i="2"/>
  <c r="H74" i="2" s="1"/>
  <c r="D51" i="3" l="1"/>
  <c r="F315" i="71"/>
  <c r="H340" i="2"/>
  <c r="D60" i="3" l="1"/>
  <c r="H184" i="2" l="1"/>
  <c r="H320" i="2"/>
  <c r="H319" i="2"/>
  <c r="F298" i="71"/>
  <c r="H300" i="2" l="1"/>
  <c r="D47" i="3"/>
  <c r="H316" i="2"/>
  <c r="F294" i="71"/>
  <c r="F292" i="71"/>
  <c r="H314" i="2"/>
  <c r="H308" i="2"/>
  <c r="F286" i="71"/>
  <c r="H326" i="2"/>
  <c r="F304" i="71"/>
  <c r="F288" i="71"/>
  <c r="H310" i="2"/>
  <c r="H302" i="2"/>
  <c r="F280" i="71"/>
  <c r="F278" i="71"/>
  <c r="H318" i="2"/>
  <c r="F296" i="71"/>
  <c r="F128" i="71" l="1"/>
  <c r="F127" i="71"/>
  <c r="F126" i="71"/>
  <c r="H136" i="2"/>
  <c r="H135" i="2"/>
  <c r="F89" i="71" l="1"/>
  <c r="D33" i="3"/>
  <c r="H94" i="2"/>
  <c r="H239" i="2"/>
  <c r="F222" i="71"/>
  <c r="F218" i="71"/>
  <c r="H235" i="2"/>
  <c r="H231" i="2"/>
  <c r="F214" i="71"/>
  <c r="F212" i="71"/>
  <c r="H229" i="2"/>
  <c r="D37" i="3"/>
  <c r="H531" i="71" l="1"/>
  <c r="G531" i="71"/>
  <c r="F531" i="71"/>
  <c r="F530" i="71"/>
  <c r="F529" i="71" s="1"/>
  <c r="H529" i="71"/>
  <c r="G529" i="71"/>
  <c r="H374" i="2"/>
  <c r="D49" i="3" l="1"/>
  <c r="H387" i="2"/>
  <c r="F546" i="71"/>
  <c r="I375" i="2" l="1"/>
  <c r="J375" i="2"/>
  <c r="H375" i="2"/>
  <c r="F265" i="71" l="1"/>
  <c r="F263" i="71"/>
  <c r="F253" i="71"/>
  <c r="H285" i="2"/>
  <c r="H283" i="2"/>
  <c r="H273" i="2"/>
  <c r="D39" i="3"/>
  <c r="H137" i="2" l="1"/>
  <c r="H134" i="2"/>
  <c r="D45" i="3"/>
  <c r="F116" i="71"/>
  <c r="H124" i="2"/>
  <c r="D57" i="3" l="1"/>
  <c r="F124" i="71"/>
  <c r="F63" i="71"/>
  <c r="H661" i="2"/>
  <c r="H132" i="2"/>
  <c r="F170" i="71" l="1"/>
  <c r="H182" i="2"/>
  <c r="F168" i="71"/>
  <c r="H180" i="2"/>
  <c r="F164" i="71"/>
  <c r="H176" i="2"/>
  <c r="D29" i="3" l="1"/>
  <c r="F385" i="71"/>
  <c r="F381" i="71"/>
  <c r="H464" i="2"/>
  <c r="H460" i="2"/>
  <c r="F236" i="71" l="1"/>
  <c r="H254" i="2"/>
  <c r="H256" i="2"/>
  <c r="F238" i="71"/>
  <c r="F240" i="71"/>
  <c r="H258" i="2"/>
  <c r="F335" i="71"/>
  <c r="H363" i="2"/>
  <c r="F203" i="71"/>
  <c r="H219" i="2"/>
  <c r="F86" i="71"/>
  <c r="H90" i="2"/>
  <c r="H205" i="2"/>
  <c r="F190" i="71"/>
  <c r="F262" i="71"/>
  <c r="F261" i="71"/>
  <c r="F260" i="71" s="1"/>
  <c r="F258" i="71"/>
  <c r="F257" i="71"/>
  <c r="F256" i="71" s="1"/>
  <c r="H277" i="2"/>
  <c r="H281" i="2"/>
  <c r="F251" i="71"/>
  <c r="H270" i="2"/>
  <c r="H271" i="71" l="1"/>
  <c r="H270" i="71" s="1"/>
  <c r="G271" i="71"/>
  <c r="G270" i="71" s="1"/>
  <c r="F271" i="71"/>
  <c r="F270" i="71" s="1"/>
  <c r="F329" i="71"/>
  <c r="H356" i="2"/>
  <c r="J291" i="2"/>
  <c r="J290" i="2" s="1"/>
  <c r="I291" i="2"/>
  <c r="I290" i="2" s="1"/>
  <c r="H291" i="2"/>
  <c r="H290" i="2" s="1"/>
  <c r="D53" i="3"/>
  <c r="F320" i="71"/>
  <c r="F319" i="71" s="1"/>
  <c r="F318" i="71"/>
  <c r="F317" i="71" s="1"/>
  <c r="H344" i="2"/>
  <c r="H346" i="2"/>
  <c r="F375" i="71" l="1"/>
  <c r="F374" i="71" s="1"/>
  <c r="F373" i="71"/>
  <c r="F372" i="71" s="1"/>
  <c r="F371" i="71"/>
  <c r="F370" i="71" s="1"/>
  <c r="H453" i="2"/>
  <c r="H451" i="2"/>
  <c r="H449" i="2"/>
  <c r="F169" i="71" l="1"/>
  <c r="F167" i="71"/>
  <c r="H89" i="2"/>
  <c r="H88" i="2"/>
  <c r="F538" i="71"/>
  <c r="H382" i="2"/>
  <c r="F389" i="71" l="1"/>
  <c r="F346" i="71"/>
  <c r="H421" i="2"/>
  <c r="H468" i="2"/>
  <c r="D57" i="73" l="1"/>
  <c r="H123" i="71" l="1"/>
  <c r="H122" i="71" s="1"/>
  <c r="G123" i="71"/>
  <c r="G122" i="71" s="1"/>
  <c r="F123" i="71"/>
  <c r="F122" i="71" s="1"/>
  <c r="I131" i="2"/>
  <c r="I130" i="2" s="1"/>
  <c r="J131" i="2"/>
  <c r="J130" i="2" s="1"/>
  <c r="H131" i="2"/>
  <c r="H130" i="2" s="1"/>
  <c r="J424" i="2" l="1"/>
  <c r="I424" i="2"/>
  <c r="H424" i="2"/>
  <c r="G349" i="71"/>
  <c r="H349" i="71"/>
  <c r="F349" i="71"/>
  <c r="F475" i="71" l="1"/>
  <c r="F474" i="71"/>
  <c r="F473" i="71"/>
  <c r="F472" i="71" s="1"/>
  <c r="H535" i="2"/>
  <c r="H533" i="2"/>
  <c r="F125" i="71" l="1"/>
  <c r="F121" i="71" s="1"/>
  <c r="F548" i="71" l="1"/>
  <c r="H390" i="2"/>
  <c r="F85" i="71" l="1"/>
  <c r="G29" i="62" l="1"/>
  <c r="F29" i="62"/>
  <c r="E29" i="62"/>
  <c r="E31" i="62" s="1"/>
  <c r="D29" i="62"/>
  <c r="C29" i="62"/>
  <c r="G27" i="62"/>
  <c r="G31" i="62" s="1"/>
  <c r="F27" i="62"/>
  <c r="F26" i="62" s="1"/>
  <c r="E27" i="62"/>
  <c r="D27" i="62"/>
  <c r="D31" i="62" s="1"/>
  <c r="C27" i="62"/>
  <c r="D26" i="62"/>
  <c r="G26" i="62" l="1"/>
  <c r="C26" i="62"/>
  <c r="C31" i="62"/>
  <c r="E26" i="62"/>
  <c r="F31" i="62"/>
  <c r="H260" i="2"/>
  <c r="J265" i="2"/>
  <c r="I265" i="2"/>
  <c r="H265" i="2"/>
  <c r="F242" i="71"/>
  <c r="G247" i="71"/>
  <c r="H247" i="71"/>
  <c r="F247" i="71"/>
  <c r="F82" i="71" l="1"/>
  <c r="F81" i="71"/>
  <c r="H84" i="2"/>
  <c r="H85" i="2"/>
  <c r="H405" i="2" l="1"/>
  <c r="F570" i="71"/>
  <c r="H610" i="2" l="1"/>
  <c r="F493" i="71"/>
  <c r="D31" i="3"/>
  <c r="F495" i="71"/>
  <c r="H612" i="2"/>
  <c r="F228" i="71" l="1"/>
  <c r="H245" i="2"/>
  <c r="H310" i="71" l="1"/>
  <c r="G310" i="71"/>
  <c r="F310" i="71"/>
  <c r="I334" i="2"/>
  <c r="J334" i="2"/>
  <c r="H334" i="2"/>
  <c r="F322" i="71"/>
  <c r="H349" i="2"/>
  <c r="H268" i="71"/>
  <c r="G268" i="71"/>
  <c r="F268" i="71"/>
  <c r="I288" i="2"/>
  <c r="J288" i="2"/>
  <c r="H288" i="2"/>
  <c r="F102" i="71" l="1"/>
  <c r="F101" i="71"/>
  <c r="H108" i="2"/>
  <c r="H107" i="2"/>
  <c r="H223" i="2" l="1"/>
  <c r="F207" i="71"/>
  <c r="H55" i="2"/>
  <c r="H54" i="2"/>
  <c r="F41" i="71"/>
  <c r="F40" i="71"/>
  <c r="F49" i="3" l="1"/>
  <c r="E49" i="3"/>
  <c r="F534" i="71"/>
  <c r="H378" i="2"/>
  <c r="J369" i="2"/>
  <c r="I369" i="2"/>
  <c r="H369" i="2"/>
  <c r="H523" i="71"/>
  <c r="G523" i="71"/>
  <c r="F523" i="71"/>
  <c r="F276" i="71"/>
  <c r="H297" i="2"/>
  <c r="H538" i="2" l="1"/>
  <c r="H537" i="2"/>
  <c r="F477" i="71"/>
  <c r="H510" i="71" l="1"/>
  <c r="G510" i="71"/>
  <c r="F510" i="71"/>
  <c r="H508" i="71"/>
  <c r="H507" i="71" s="1"/>
  <c r="G508" i="71"/>
  <c r="G507" i="71" s="1"/>
  <c r="F508" i="71"/>
  <c r="J628" i="2"/>
  <c r="I628" i="2"/>
  <c r="H628" i="2"/>
  <c r="J626" i="2"/>
  <c r="J625" i="2" s="1"/>
  <c r="I626" i="2"/>
  <c r="I625" i="2" s="1"/>
  <c r="H626" i="2"/>
  <c r="F507" i="71" l="1"/>
  <c r="H625" i="2"/>
  <c r="H436" i="71" l="1"/>
  <c r="H435" i="71" s="1"/>
  <c r="G436" i="71"/>
  <c r="F436" i="71"/>
  <c r="F435" i="71" s="1"/>
  <c r="G435" i="71"/>
  <c r="J509" i="2"/>
  <c r="J508" i="2" s="1"/>
  <c r="I509" i="2"/>
  <c r="I508" i="2" s="1"/>
  <c r="H509" i="2"/>
  <c r="H508" i="2"/>
  <c r="J475" i="2"/>
  <c r="J474" i="2" s="1"/>
  <c r="I475" i="2"/>
  <c r="H475" i="2"/>
  <c r="H474" i="2" s="1"/>
  <c r="I474" i="2"/>
  <c r="H395" i="71"/>
  <c r="H394" i="71" s="1"/>
  <c r="G395" i="71"/>
  <c r="G394" i="71" s="1"/>
  <c r="F395" i="71"/>
  <c r="F394" i="71" s="1"/>
  <c r="J427" i="2"/>
  <c r="J426" i="2" s="1"/>
  <c r="I427" i="2"/>
  <c r="I426" i="2" s="1"/>
  <c r="H427" i="2"/>
  <c r="H426" i="2" s="1"/>
  <c r="H352" i="71"/>
  <c r="H351" i="71" s="1"/>
  <c r="G352" i="71"/>
  <c r="G351" i="71" s="1"/>
  <c r="F352" i="71"/>
  <c r="F351" i="71" s="1"/>
  <c r="H328" i="71"/>
  <c r="H327" i="71" s="1"/>
  <c r="G328" i="71"/>
  <c r="G327" i="71" s="1"/>
  <c r="F328" i="71"/>
  <c r="F327" i="71" s="1"/>
  <c r="J355" i="2"/>
  <c r="J354" i="2" s="1"/>
  <c r="I355" i="2"/>
  <c r="I354" i="2" s="1"/>
  <c r="H355" i="2"/>
  <c r="H354" i="2" s="1"/>
  <c r="F57" i="3" l="1"/>
  <c r="E57" i="3"/>
  <c r="H80" i="2" l="1"/>
  <c r="F78" i="71"/>
  <c r="F76" i="71"/>
  <c r="H78" i="2"/>
  <c r="H275" i="71"/>
  <c r="G275" i="71"/>
  <c r="F275" i="71"/>
  <c r="I296" i="2"/>
  <c r="I295" i="2" s="1"/>
  <c r="J296" i="2"/>
  <c r="J295" i="2" s="1"/>
  <c r="H296" i="2"/>
  <c r="H295" i="2" s="1"/>
  <c r="F92" i="71" l="1"/>
  <c r="H91" i="71"/>
  <c r="H90" i="71" s="1"/>
  <c r="G91" i="71"/>
  <c r="G90" i="71" s="1"/>
  <c r="F91" i="71"/>
  <c r="F90" i="71" s="1"/>
  <c r="H96" i="2"/>
  <c r="H198" i="2" l="1"/>
  <c r="F184" i="71"/>
  <c r="H452" i="2"/>
  <c r="H450" i="2"/>
  <c r="H448" i="2"/>
  <c r="F369" i="71"/>
  <c r="H447" i="2"/>
  <c r="F77" i="71" l="1"/>
  <c r="F75" i="71"/>
  <c r="H147" i="71" l="1"/>
  <c r="G147" i="71"/>
  <c r="F147" i="71"/>
  <c r="I155" i="2"/>
  <c r="J155" i="2"/>
  <c r="H155" i="2"/>
  <c r="H656" i="2" l="1"/>
  <c r="H655" i="2"/>
  <c r="F53" i="71"/>
  <c r="H654" i="2" l="1"/>
  <c r="H653" i="2" s="1"/>
  <c r="F478" i="71"/>
  <c r="H87" i="2" l="1"/>
  <c r="G83" i="71"/>
  <c r="H83" i="71"/>
  <c r="F84" i="71"/>
  <c r="F83" i="71" s="1"/>
  <c r="E62" i="3" l="1"/>
  <c r="F62" i="3"/>
  <c r="D62" i="3"/>
  <c r="H58" i="71"/>
  <c r="G58" i="71"/>
  <c r="F58" i="71"/>
  <c r="I41" i="2"/>
  <c r="J41" i="2"/>
  <c r="H41" i="2"/>
  <c r="J39" i="2"/>
  <c r="I39" i="2"/>
  <c r="H39" i="2"/>
  <c r="G56" i="71"/>
  <c r="H56" i="71"/>
  <c r="F56" i="71"/>
  <c r="F60" i="3"/>
  <c r="E60" i="3"/>
  <c r="H43" i="71"/>
  <c r="G43" i="71"/>
  <c r="F43" i="71"/>
  <c r="I58" i="2"/>
  <c r="J58" i="2"/>
  <c r="H58" i="2"/>
  <c r="F29" i="3"/>
  <c r="E29" i="3"/>
  <c r="J655" i="2"/>
  <c r="J654" i="2" s="1"/>
  <c r="I655" i="2"/>
  <c r="I654" i="2" s="1"/>
  <c r="G52" i="71"/>
  <c r="G51" i="71" s="1"/>
  <c r="H52" i="71"/>
  <c r="H51" i="71" s="1"/>
  <c r="F52" i="71"/>
  <c r="F51" i="71" s="1"/>
  <c r="J96" i="2" l="1"/>
  <c r="I96" i="2"/>
  <c r="J93" i="2"/>
  <c r="I93" i="2"/>
  <c r="H93" i="2"/>
  <c r="G88" i="71"/>
  <c r="H88" i="71"/>
  <c r="F88" i="71"/>
  <c r="J135" i="2"/>
  <c r="J134" i="2" s="1"/>
  <c r="I135" i="2"/>
  <c r="I134" i="2" s="1"/>
  <c r="G126" i="71"/>
  <c r="G125" i="71" s="1"/>
  <c r="G121" i="71" s="1"/>
  <c r="H126" i="71"/>
  <c r="H125" i="71" s="1"/>
  <c r="H121" i="71" s="1"/>
  <c r="H484" i="71"/>
  <c r="G484" i="71"/>
  <c r="F484" i="71"/>
  <c r="I545" i="2"/>
  <c r="J545" i="2"/>
  <c r="H545" i="2"/>
  <c r="F31" i="3"/>
  <c r="E31" i="3"/>
  <c r="H517" i="71"/>
  <c r="G517" i="71"/>
  <c r="F517" i="71"/>
  <c r="I637" i="2"/>
  <c r="J637" i="2"/>
  <c r="H637" i="2"/>
  <c r="E59" i="3"/>
  <c r="E56" i="3" s="1"/>
  <c r="F59" i="3"/>
  <c r="F56" i="3" s="1"/>
  <c r="D59" i="3"/>
  <c r="D56" i="3" s="1"/>
  <c r="H35" i="71"/>
  <c r="G35" i="71"/>
  <c r="F35" i="71"/>
  <c r="I32" i="2"/>
  <c r="J32" i="2"/>
  <c r="H32" i="2"/>
  <c r="H31" i="71"/>
  <c r="G31" i="71"/>
  <c r="F31" i="71"/>
  <c r="I49" i="2"/>
  <c r="J49" i="2"/>
  <c r="H49" i="2"/>
  <c r="F326" i="71" l="1"/>
  <c r="F325" i="71" s="1"/>
  <c r="F324" i="71"/>
  <c r="F323" i="71" s="1"/>
  <c r="F321" i="71"/>
  <c r="H353" i="2"/>
  <c r="H351" i="2"/>
  <c r="H59" i="2" l="1"/>
  <c r="F44" i="71"/>
  <c r="F379" i="71" l="1"/>
  <c r="H419" i="2"/>
  <c r="H458" i="2"/>
  <c r="F344" i="71"/>
  <c r="H571" i="2" l="1"/>
  <c r="F426" i="71"/>
  <c r="H537" i="71" l="1"/>
  <c r="H536" i="71" s="1"/>
  <c r="H535" i="71" s="1"/>
  <c r="G537" i="71"/>
  <c r="G536" i="71" s="1"/>
  <c r="G535" i="71" s="1"/>
  <c r="F537" i="71"/>
  <c r="F536" i="71" s="1"/>
  <c r="F535" i="71" s="1"/>
  <c r="J381" i="2"/>
  <c r="J380" i="2" s="1"/>
  <c r="J379" i="2" s="1"/>
  <c r="I381" i="2"/>
  <c r="I380" i="2" s="1"/>
  <c r="I379" i="2" s="1"/>
  <c r="H381" i="2"/>
  <c r="H380" i="2" s="1"/>
  <c r="H379" i="2" s="1"/>
  <c r="H209" i="2" l="1"/>
  <c r="F194" i="71"/>
  <c r="F146" i="71"/>
  <c r="F145" i="71" s="1"/>
  <c r="F144" i="71"/>
  <c r="F143" i="71" s="1"/>
  <c r="F142" i="71"/>
  <c r="F141" i="71" s="1"/>
  <c r="H154" i="2"/>
  <c r="H152" i="2"/>
  <c r="H150" i="2"/>
  <c r="F140" i="71" l="1"/>
  <c r="F568" i="71"/>
  <c r="H403" i="2"/>
  <c r="H145" i="71" l="1"/>
  <c r="G145" i="71"/>
  <c r="H143" i="71"/>
  <c r="G143" i="71"/>
  <c r="H153" i="2"/>
  <c r="J153" i="2"/>
  <c r="I153" i="2"/>
  <c r="I151" i="2"/>
  <c r="J151" i="2"/>
  <c r="H151" i="2"/>
  <c r="F500" i="71" l="1"/>
  <c r="F498" i="71"/>
  <c r="H618" i="2"/>
  <c r="H616" i="2"/>
  <c r="J185" i="2"/>
  <c r="I185" i="2"/>
  <c r="H185" i="2"/>
  <c r="J183" i="2"/>
  <c r="I183" i="2"/>
  <c r="H183" i="2"/>
  <c r="H173" i="71"/>
  <c r="G173" i="71"/>
  <c r="F173" i="71"/>
  <c r="G171" i="71"/>
  <c r="H171" i="71"/>
  <c r="F171" i="71"/>
  <c r="I189" i="2" l="1"/>
  <c r="I188" i="2" s="1"/>
  <c r="G176" i="71"/>
  <c r="G175" i="71" s="1"/>
  <c r="H176" i="71"/>
  <c r="E41" i="3"/>
  <c r="F41" i="3"/>
  <c r="J192" i="2"/>
  <c r="H178" i="71"/>
  <c r="J189" i="2"/>
  <c r="I173" i="2"/>
  <c r="H160" i="71"/>
  <c r="G160" i="71"/>
  <c r="J171" i="2"/>
  <c r="I171" i="2"/>
  <c r="H97" i="2"/>
  <c r="F111" i="71"/>
  <c r="H119" i="2"/>
  <c r="F245" i="71"/>
  <c r="G245" i="71"/>
  <c r="H245" i="71"/>
  <c r="I570" i="2"/>
  <c r="I569" i="2" s="1"/>
  <c r="J570" i="2"/>
  <c r="J569" i="2" s="1"/>
  <c r="H570" i="2"/>
  <c r="H569" i="2" s="1"/>
  <c r="H384" i="71"/>
  <c r="G384" i="71"/>
  <c r="F384" i="71"/>
  <c r="H401" i="71"/>
  <c r="G401" i="71"/>
  <c r="F401" i="71"/>
  <c r="I482" i="2"/>
  <c r="J482" i="2"/>
  <c r="H482" i="2"/>
  <c r="H364" i="71"/>
  <c r="G364" i="71"/>
  <c r="F364" i="71"/>
  <c r="I441" i="2"/>
  <c r="J441" i="2"/>
  <c r="H441" i="2"/>
  <c r="H457" i="2"/>
  <c r="F378" i="71"/>
  <c r="F348" i="71"/>
  <c r="H423" i="2"/>
  <c r="G425" i="71"/>
  <c r="H425" i="71"/>
  <c r="F425" i="71"/>
  <c r="I463" i="2"/>
  <c r="J463" i="2"/>
  <c r="H463" i="2"/>
  <c r="H266" i="71" l="1"/>
  <c r="G266" i="71"/>
  <c r="F266" i="71"/>
  <c r="I286" i="2" l="1"/>
  <c r="J286" i="2"/>
  <c r="H286" i="2"/>
  <c r="F406" i="71" l="1"/>
  <c r="H488" i="2"/>
  <c r="F408" i="71" l="1"/>
  <c r="H409" i="71"/>
  <c r="G409" i="71"/>
  <c r="F409" i="71"/>
  <c r="H491" i="2"/>
  <c r="H492" i="2"/>
  <c r="F255" i="71"/>
  <c r="F254" i="71" s="1"/>
  <c r="H275" i="2"/>
  <c r="F550" i="71" l="1"/>
  <c r="H393" i="2"/>
  <c r="J100" i="2"/>
  <c r="I100" i="2"/>
  <c r="H100" i="2"/>
  <c r="G95" i="71"/>
  <c r="H95" i="71"/>
  <c r="F95" i="71"/>
  <c r="D30" i="3"/>
  <c r="J580" i="2"/>
  <c r="I580" i="2"/>
  <c r="H580" i="2"/>
  <c r="G433" i="71"/>
  <c r="H433" i="71"/>
  <c r="F433" i="71"/>
  <c r="H505" i="71"/>
  <c r="G505" i="71"/>
  <c r="F505" i="71"/>
  <c r="I623" i="2"/>
  <c r="J623" i="2"/>
  <c r="H623" i="2"/>
  <c r="H481" i="71" l="1"/>
  <c r="G481" i="71"/>
  <c r="F481" i="71"/>
  <c r="I541" i="2"/>
  <c r="J541" i="2"/>
  <c r="H541" i="2"/>
  <c r="H405" i="71" l="1"/>
  <c r="G405" i="71"/>
  <c r="F405" i="71"/>
  <c r="I487" i="2"/>
  <c r="I486" i="2" s="1"/>
  <c r="J487" i="2"/>
  <c r="J486" i="2" s="1"/>
  <c r="H487" i="2"/>
  <c r="H486" i="2" s="1"/>
  <c r="J263" i="2" l="1"/>
  <c r="I263" i="2"/>
  <c r="H263" i="2"/>
  <c r="H121" i="2" l="1"/>
  <c r="F113" i="71"/>
  <c r="H367" i="71" l="1"/>
  <c r="G367" i="71"/>
  <c r="F367" i="71"/>
  <c r="J444" i="2"/>
  <c r="I444" i="2"/>
  <c r="H444" i="2"/>
  <c r="H442" i="71"/>
  <c r="G442" i="71"/>
  <c r="F442" i="71"/>
  <c r="I515" i="2"/>
  <c r="J515" i="2"/>
  <c r="H515" i="2"/>
  <c r="H374" i="71" l="1"/>
  <c r="G374" i="71"/>
  <c r="H372" i="71"/>
  <c r="G372" i="71"/>
  <c r="H370" i="71"/>
  <c r="G370" i="71"/>
  <c r="F368" i="71"/>
  <c r="H368" i="71"/>
  <c r="G368" i="71"/>
  <c r="I452" i="2"/>
  <c r="J452" i="2"/>
  <c r="I450" i="2"/>
  <c r="J450" i="2"/>
  <c r="J448" i="2"/>
  <c r="I448" i="2"/>
  <c r="J345" i="2" l="1"/>
  <c r="I345" i="2"/>
  <c r="H345" i="2"/>
  <c r="H319" i="71"/>
  <c r="G319" i="71"/>
  <c r="G317" i="71" l="1"/>
  <c r="H317" i="71"/>
  <c r="F27" i="1" l="1"/>
  <c r="G27" i="1"/>
  <c r="F35" i="1"/>
  <c r="G35" i="1"/>
  <c r="E35" i="1"/>
  <c r="H161" i="71" l="1"/>
  <c r="G161" i="71"/>
  <c r="F161" i="71"/>
  <c r="H159" i="71"/>
  <c r="G159" i="71"/>
  <c r="F159" i="71"/>
  <c r="H183" i="71"/>
  <c r="G183" i="71"/>
  <c r="F183" i="71"/>
  <c r="H181" i="71"/>
  <c r="G181" i="71"/>
  <c r="F181" i="71"/>
  <c r="H179" i="71"/>
  <c r="G179" i="71"/>
  <c r="F179" i="71"/>
  <c r="H177" i="71"/>
  <c r="G177" i="71"/>
  <c r="F177" i="71"/>
  <c r="H175" i="71"/>
  <c r="F175" i="71"/>
  <c r="H169" i="71"/>
  <c r="G169" i="71"/>
  <c r="H167" i="71"/>
  <c r="G167" i="71"/>
  <c r="H165" i="71"/>
  <c r="G165" i="71"/>
  <c r="F165" i="71"/>
  <c r="H163" i="71"/>
  <c r="G163" i="71"/>
  <c r="F163" i="71"/>
  <c r="H155" i="71"/>
  <c r="G155" i="71"/>
  <c r="F155" i="71"/>
  <c r="H153" i="71"/>
  <c r="G153" i="71"/>
  <c r="F153" i="71"/>
  <c r="H151" i="71"/>
  <c r="G151" i="71"/>
  <c r="F151" i="71"/>
  <c r="I187" i="2"/>
  <c r="J188" i="2"/>
  <c r="J187" i="2" s="1"/>
  <c r="H188" i="2"/>
  <c r="H187" i="2" s="1"/>
  <c r="I172" i="2"/>
  <c r="J172" i="2"/>
  <c r="H172" i="2"/>
  <c r="F158" i="71" l="1"/>
  <c r="H158" i="71"/>
  <c r="H157" i="71" s="1"/>
  <c r="G158" i="71"/>
  <c r="G157" i="71" s="1"/>
  <c r="F150" i="71"/>
  <c r="G150" i="71"/>
  <c r="H150" i="71"/>
  <c r="H557" i="71"/>
  <c r="G557" i="71"/>
  <c r="F557" i="71"/>
  <c r="H554" i="71"/>
  <c r="G554" i="71"/>
  <c r="F554" i="71"/>
  <c r="H516" i="71"/>
  <c r="G516" i="71"/>
  <c r="F516" i="71"/>
  <c r="H514" i="71"/>
  <c r="G514" i="71"/>
  <c r="F514" i="71"/>
  <c r="H503" i="71"/>
  <c r="G503" i="71"/>
  <c r="F503" i="71"/>
  <c r="H501" i="71"/>
  <c r="G501" i="71"/>
  <c r="F501" i="71"/>
  <c r="H499" i="71"/>
  <c r="G499" i="71"/>
  <c r="F499" i="71"/>
  <c r="H496" i="71"/>
  <c r="G496" i="71"/>
  <c r="F496" i="71"/>
  <c r="H494" i="71"/>
  <c r="G494" i="71"/>
  <c r="F494" i="71"/>
  <c r="H492" i="71"/>
  <c r="G492" i="71"/>
  <c r="F492" i="71"/>
  <c r="H489" i="71"/>
  <c r="G489" i="71"/>
  <c r="F489" i="71"/>
  <c r="H451" i="71"/>
  <c r="G451" i="71"/>
  <c r="F451" i="71"/>
  <c r="H449" i="71"/>
  <c r="G449" i="71"/>
  <c r="F449" i="71"/>
  <c r="H447" i="71"/>
  <c r="G447" i="71"/>
  <c r="F447" i="71"/>
  <c r="H445" i="71"/>
  <c r="G445" i="71"/>
  <c r="F445" i="71"/>
  <c r="H431" i="71"/>
  <c r="G431" i="71"/>
  <c r="F431" i="71"/>
  <c r="H429" i="71"/>
  <c r="G429" i="71"/>
  <c r="F429" i="71"/>
  <c r="H427" i="71"/>
  <c r="G427" i="71"/>
  <c r="F427" i="71"/>
  <c r="J576" i="2"/>
  <c r="I576" i="2"/>
  <c r="H576" i="2"/>
  <c r="I611" i="2"/>
  <c r="J611" i="2"/>
  <c r="H611" i="2"/>
  <c r="I609" i="2"/>
  <c r="J609" i="2"/>
  <c r="H609" i="2"/>
  <c r="F424" i="71" l="1"/>
  <c r="G424" i="71"/>
  <c r="H424" i="71"/>
  <c r="F488" i="71"/>
  <c r="F487" i="71" s="1"/>
  <c r="G488" i="71"/>
  <c r="G487" i="71" s="1"/>
  <c r="H488" i="71"/>
  <c r="H487" i="71" s="1"/>
  <c r="H608" i="2"/>
  <c r="I608" i="2"/>
  <c r="J608" i="2"/>
  <c r="J605" i="2"/>
  <c r="J604" i="2" s="1"/>
  <c r="I605" i="2"/>
  <c r="I604" i="2" s="1"/>
  <c r="H605" i="2"/>
  <c r="H604" i="2" s="1"/>
  <c r="H303" i="71" l="1"/>
  <c r="G303" i="71"/>
  <c r="F303" i="71"/>
  <c r="H301" i="71"/>
  <c r="G301" i="71"/>
  <c r="F301" i="71"/>
  <c r="H299" i="71"/>
  <c r="G299" i="71"/>
  <c r="F299" i="71"/>
  <c r="H297" i="71"/>
  <c r="G297" i="71"/>
  <c r="F297" i="71"/>
  <c r="H295" i="71"/>
  <c r="G295" i="71"/>
  <c r="F295" i="71"/>
  <c r="H293" i="71"/>
  <c r="G293" i="71"/>
  <c r="F293" i="71"/>
  <c r="H291" i="71"/>
  <c r="G291" i="71"/>
  <c r="F291" i="71"/>
  <c r="H289" i="71"/>
  <c r="G289" i="71"/>
  <c r="F289" i="71"/>
  <c r="H287" i="71"/>
  <c r="G287" i="71"/>
  <c r="F287" i="71"/>
  <c r="H285" i="71"/>
  <c r="G285" i="71"/>
  <c r="F285" i="71"/>
  <c r="H283" i="71"/>
  <c r="G283" i="71"/>
  <c r="F283" i="71"/>
  <c r="H281" i="71"/>
  <c r="G281" i="71"/>
  <c r="F281" i="71"/>
  <c r="H279" i="71"/>
  <c r="G279" i="71"/>
  <c r="F279" i="71"/>
  <c r="H277" i="71"/>
  <c r="G277" i="71"/>
  <c r="F277" i="71"/>
  <c r="I325" i="2"/>
  <c r="J325" i="2"/>
  <c r="H325" i="2"/>
  <c r="G57" i="71"/>
  <c r="H57" i="71"/>
  <c r="F57" i="71"/>
  <c r="H533" i="71"/>
  <c r="H528" i="71" s="1"/>
  <c r="G533" i="71"/>
  <c r="G528" i="71" s="1"/>
  <c r="F533" i="71"/>
  <c r="F528" i="71" s="1"/>
  <c r="I377" i="2"/>
  <c r="J377" i="2"/>
  <c r="H377" i="2"/>
  <c r="H274" i="71" l="1"/>
  <c r="F274" i="71"/>
  <c r="G274" i="71"/>
  <c r="H549" i="71"/>
  <c r="G549" i="71"/>
  <c r="F549" i="71"/>
  <c r="H547" i="71"/>
  <c r="G547" i="71"/>
  <c r="F547" i="71"/>
  <c r="H545" i="71" l="1"/>
  <c r="H544" i="71" s="1"/>
  <c r="G545" i="71"/>
  <c r="G544" i="71" s="1"/>
  <c r="F545" i="71"/>
  <c r="F544" i="71" s="1"/>
  <c r="H522" i="71"/>
  <c r="G522" i="71"/>
  <c r="F522" i="71"/>
  <c r="J31" i="2" l="1"/>
  <c r="J30" i="2" s="1"/>
  <c r="I31" i="2"/>
  <c r="I30" i="2" s="1"/>
  <c r="H31" i="2"/>
  <c r="H30" i="2" s="1"/>
  <c r="H229" i="71" l="1"/>
  <c r="G229" i="71"/>
  <c r="F229" i="71"/>
  <c r="H227" i="71"/>
  <c r="G227" i="71"/>
  <c r="F227" i="71"/>
  <c r="H225" i="71"/>
  <c r="G225" i="71"/>
  <c r="F225" i="71"/>
  <c r="H223" i="71"/>
  <c r="G223" i="71"/>
  <c r="F223" i="71"/>
  <c r="H221" i="71"/>
  <c r="G221" i="71"/>
  <c r="F221" i="71"/>
  <c r="H219" i="71"/>
  <c r="G219" i="71"/>
  <c r="F219" i="71"/>
  <c r="H217" i="71"/>
  <c r="G217" i="71"/>
  <c r="F217" i="71"/>
  <c r="H215" i="71"/>
  <c r="G215" i="71"/>
  <c r="F215" i="71"/>
  <c r="H213" i="71"/>
  <c r="G213" i="71"/>
  <c r="F213" i="71"/>
  <c r="H211" i="71"/>
  <c r="G211" i="71"/>
  <c r="F211" i="71"/>
  <c r="F233" i="71"/>
  <c r="G233" i="71"/>
  <c r="H233" i="71"/>
  <c r="I246" i="2"/>
  <c r="J246" i="2"/>
  <c r="H246" i="2"/>
  <c r="F210" i="71" l="1"/>
  <c r="H210" i="71"/>
  <c r="G210" i="71"/>
  <c r="I234" i="2"/>
  <c r="J234" i="2"/>
  <c r="H234" i="2"/>
  <c r="I230" i="2"/>
  <c r="J230" i="2"/>
  <c r="H230" i="2"/>
  <c r="D52" i="3" l="1"/>
  <c r="H325" i="71"/>
  <c r="G325" i="71"/>
  <c r="H323" i="71"/>
  <c r="G323" i="71"/>
  <c r="H321" i="71"/>
  <c r="G321" i="71"/>
  <c r="I348" i="2"/>
  <c r="J348" i="2"/>
  <c r="H348" i="2"/>
  <c r="I350" i="2"/>
  <c r="J350" i="2"/>
  <c r="H350" i="2"/>
  <c r="I352" i="2"/>
  <c r="J352" i="2"/>
  <c r="H352" i="2"/>
  <c r="H316" i="71" l="1"/>
  <c r="F316" i="71"/>
  <c r="G316" i="71"/>
  <c r="J347" i="2"/>
  <c r="I347" i="2"/>
  <c r="H347" i="2"/>
  <c r="D40" i="3" l="1"/>
  <c r="H252" i="71"/>
  <c r="G252" i="71"/>
  <c r="F252" i="71"/>
  <c r="H264" i="71"/>
  <c r="G264" i="71"/>
  <c r="F264" i="71"/>
  <c r="H262" i="71"/>
  <c r="G262" i="71"/>
  <c r="H260" i="71"/>
  <c r="G260" i="71"/>
  <c r="H258" i="71"/>
  <c r="G258" i="71"/>
  <c r="H256" i="71"/>
  <c r="G256" i="71"/>
  <c r="H254" i="71"/>
  <c r="G254" i="71"/>
  <c r="H250" i="71"/>
  <c r="G250" i="71"/>
  <c r="F250" i="71"/>
  <c r="H360" i="71"/>
  <c r="G360" i="71"/>
  <c r="F360" i="71"/>
  <c r="H358" i="71"/>
  <c r="G358" i="71"/>
  <c r="F358" i="71"/>
  <c r="H356" i="71"/>
  <c r="G356" i="71"/>
  <c r="F356" i="71"/>
  <c r="G249" i="71" l="1"/>
  <c r="F249" i="71"/>
  <c r="H249" i="71"/>
  <c r="H541" i="71"/>
  <c r="G541" i="71"/>
  <c r="F541" i="71"/>
  <c r="H476" i="71"/>
  <c r="G476" i="71"/>
  <c r="F476" i="71"/>
  <c r="H474" i="71"/>
  <c r="G474" i="71"/>
  <c r="H414" i="71"/>
  <c r="G414" i="71"/>
  <c r="F414" i="71"/>
  <c r="I497" i="2"/>
  <c r="J497" i="2"/>
  <c r="H497" i="2"/>
  <c r="J446" i="2"/>
  <c r="J445" i="2" s="1"/>
  <c r="I446" i="2"/>
  <c r="I445" i="2" s="1"/>
  <c r="H446" i="2"/>
  <c r="H445" i="2" s="1"/>
  <c r="H366" i="71"/>
  <c r="G366" i="71"/>
  <c r="F366" i="71"/>
  <c r="H362" i="71"/>
  <c r="G362" i="71"/>
  <c r="F362" i="71"/>
  <c r="H347" i="71"/>
  <c r="G347" i="71"/>
  <c r="F347" i="71"/>
  <c r="H345" i="71"/>
  <c r="G345" i="71"/>
  <c r="F345" i="71"/>
  <c r="H343" i="71"/>
  <c r="G343" i="71"/>
  <c r="F343" i="71"/>
  <c r="H341" i="71"/>
  <c r="G341" i="71"/>
  <c r="F341" i="71"/>
  <c r="H339" i="71"/>
  <c r="G339" i="71"/>
  <c r="F339" i="71"/>
  <c r="F338" i="71" l="1"/>
  <c r="G338" i="71"/>
  <c r="G337" i="71" s="1"/>
  <c r="H338" i="71"/>
  <c r="H337" i="71" s="1"/>
  <c r="F337" i="71"/>
  <c r="J208" i="2"/>
  <c r="I208" i="2"/>
  <c r="H208" i="2"/>
  <c r="J206" i="2"/>
  <c r="I206" i="2"/>
  <c r="H206" i="2"/>
  <c r="J204" i="2"/>
  <c r="I204" i="2"/>
  <c r="H204" i="2"/>
  <c r="H77" i="71" l="1"/>
  <c r="G77" i="71"/>
  <c r="H75" i="71"/>
  <c r="G75" i="71"/>
  <c r="H70" i="71"/>
  <c r="G70" i="71"/>
  <c r="F70" i="71"/>
  <c r="H68" i="71"/>
  <c r="G68" i="71"/>
  <c r="F68" i="71"/>
  <c r="H66" i="71"/>
  <c r="G66" i="71"/>
  <c r="F66" i="71"/>
  <c r="J218" i="2" l="1"/>
  <c r="I218" i="2"/>
  <c r="H218" i="2"/>
  <c r="G202" i="71"/>
  <c r="H202" i="71"/>
  <c r="F202" i="71"/>
  <c r="H243" i="71"/>
  <c r="G243" i="71"/>
  <c r="F243" i="71"/>
  <c r="H241" i="71"/>
  <c r="G241" i="71"/>
  <c r="F241" i="71"/>
  <c r="H239" i="71"/>
  <c r="G239" i="71"/>
  <c r="F239" i="71"/>
  <c r="H237" i="71"/>
  <c r="G237" i="71"/>
  <c r="F237" i="71"/>
  <c r="H235" i="71"/>
  <c r="G235" i="71"/>
  <c r="F235" i="71"/>
  <c r="I261" i="2"/>
  <c r="J261" i="2"/>
  <c r="H261" i="2"/>
  <c r="H334" i="71"/>
  <c r="G334" i="71"/>
  <c r="F334" i="71"/>
  <c r="H332" i="71"/>
  <c r="G332" i="71"/>
  <c r="F332" i="71"/>
  <c r="H571" i="71"/>
  <c r="G571" i="71"/>
  <c r="F571" i="71"/>
  <c r="H569" i="71"/>
  <c r="G569" i="71"/>
  <c r="F569" i="71"/>
  <c r="H567" i="71"/>
  <c r="G567" i="71"/>
  <c r="F567" i="71"/>
  <c r="H565" i="71"/>
  <c r="G565" i="71"/>
  <c r="F565" i="71"/>
  <c r="H563" i="71"/>
  <c r="G563" i="71"/>
  <c r="F563" i="71"/>
  <c r="H400" i="2"/>
  <c r="J398" i="2"/>
  <c r="I398" i="2"/>
  <c r="H398" i="2"/>
  <c r="J222" i="2"/>
  <c r="I222" i="2"/>
  <c r="H222" i="2"/>
  <c r="J220" i="2"/>
  <c r="I220" i="2"/>
  <c r="H220" i="2"/>
  <c r="J216" i="2"/>
  <c r="I216" i="2"/>
  <c r="H216" i="2"/>
  <c r="J214" i="2"/>
  <c r="I214" i="2"/>
  <c r="H214" i="2"/>
  <c r="J212" i="2"/>
  <c r="I212" i="2"/>
  <c r="H212" i="2"/>
  <c r="H232" i="71" l="1"/>
  <c r="H231" i="71" s="1"/>
  <c r="G232" i="71"/>
  <c r="G231" i="71" s="1"/>
  <c r="F232" i="71"/>
  <c r="F231" i="71" s="1"/>
  <c r="I211" i="2"/>
  <c r="J211" i="2"/>
  <c r="H211" i="2"/>
  <c r="F562" i="71"/>
  <c r="G562" i="71"/>
  <c r="H562" i="71"/>
  <c r="H39" i="71"/>
  <c r="G39" i="71"/>
  <c r="F39" i="71"/>
  <c r="I53" i="2"/>
  <c r="J53" i="2"/>
  <c r="H53" i="2"/>
  <c r="I413" i="2" l="1"/>
  <c r="I412" i="2" s="1"/>
  <c r="J413" i="2"/>
  <c r="J412" i="2" s="1"/>
  <c r="H413" i="2"/>
  <c r="H412" i="2" s="1"/>
  <c r="H458" i="71" l="1"/>
  <c r="G458" i="71"/>
  <c r="F458" i="71"/>
  <c r="H456" i="71"/>
  <c r="G456" i="71"/>
  <c r="F456" i="71"/>
  <c r="H454" i="71"/>
  <c r="G454" i="71"/>
  <c r="F454" i="71"/>
  <c r="H131" i="71"/>
  <c r="G131" i="71"/>
  <c r="F131" i="71"/>
  <c r="H100" i="71"/>
  <c r="H99" i="71" s="1"/>
  <c r="H98" i="71" s="1"/>
  <c r="H97" i="71" s="1"/>
  <c r="G100" i="71"/>
  <c r="G99" i="71" s="1"/>
  <c r="G98" i="71" s="1"/>
  <c r="G97" i="71" s="1"/>
  <c r="F100" i="71"/>
  <c r="F99" i="71" s="1"/>
  <c r="F98" i="71" s="1"/>
  <c r="F97" i="71" s="1"/>
  <c r="I106" i="2"/>
  <c r="I105" i="2" s="1"/>
  <c r="I104" i="2" s="1"/>
  <c r="I103" i="2" s="1"/>
  <c r="I102" i="2" s="1"/>
  <c r="J106" i="2"/>
  <c r="J105" i="2" s="1"/>
  <c r="J104" i="2" s="1"/>
  <c r="J103" i="2" s="1"/>
  <c r="J102" i="2" s="1"/>
  <c r="H106" i="2"/>
  <c r="H105" i="2" s="1"/>
  <c r="H104" i="2" s="1"/>
  <c r="H103" i="2" s="1"/>
  <c r="H102" i="2" s="1"/>
  <c r="H119" i="71" l="1"/>
  <c r="G119" i="71"/>
  <c r="F119" i="71"/>
  <c r="H117" i="71"/>
  <c r="G117" i="71"/>
  <c r="F117" i="71"/>
  <c r="H114" i="71"/>
  <c r="G114" i="71"/>
  <c r="F114" i="71"/>
  <c r="H112" i="71"/>
  <c r="G112" i="71"/>
  <c r="F112" i="71"/>
  <c r="H110" i="71"/>
  <c r="G110" i="71"/>
  <c r="F110" i="71"/>
  <c r="H136" i="71"/>
  <c r="G136" i="71"/>
  <c r="F136" i="71"/>
  <c r="H134" i="71"/>
  <c r="G134" i="71"/>
  <c r="F134" i="71"/>
  <c r="G109" i="71" l="1"/>
  <c r="H109" i="71"/>
  <c r="F109" i="71"/>
  <c r="F108" i="71" l="1"/>
  <c r="G108" i="71"/>
  <c r="J79" i="2"/>
  <c r="I79" i="2"/>
  <c r="H79" i="2"/>
  <c r="J77" i="2"/>
  <c r="I77" i="2"/>
  <c r="H77" i="2"/>
  <c r="J72" i="2"/>
  <c r="I72" i="2"/>
  <c r="H72" i="2"/>
  <c r="J70" i="2"/>
  <c r="I70" i="2"/>
  <c r="H70" i="2"/>
  <c r="J68" i="2"/>
  <c r="I68" i="2"/>
  <c r="H68" i="2"/>
  <c r="J339" i="2" l="1"/>
  <c r="I339" i="2"/>
  <c r="H339" i="2"/>
  <c r="J337" i="2"/>
  <c r="I337" i="2"/>
  <c r="H337" i="2"/>
  <c r="H314" i="71"/>
  <c r="G314" i="71"/>
  <c r="F314" i="71"/>
  <c r="H312" i="71"/>
  <c r="G312" i="71"/>
  <c r="F312" i="71"/>
  <c r="H308" i="71"/>
  <c r="G308" i="71"/>
  <c r="F308" i="71"/>
  <c r="H306" i="71"/>
  <c r="G306" i="71"/>
  <c r="F306" i="71"/>
  <c r="I332" i="2"/>
  <c r="I331" i="2" s="1"/>
  <c r="J332" i="2"/>
  <c r="J331" i="2" s="1"/>
  <c r="H332" i="2"/>
  <c r="H331" i="2" s="1"/>
  <c r="I329" i="2"/>
  <c r="I328" i="2" s="1"/>
  <c r="J329" i="2"/>
  <c r="J328" i="2" s="1"/>
  <c r="H329" i="2"/>
  <c r="H328" i="2" s="1"/>
  <c r="G305" i="71" l="1"/>
  <c r="F305" i="71"/>
  <c r="F273" i="71" s="1"/>
  <c r="H305" i="71"/>
  <c r="H273" i="71" s="1"/>
  <c r="H336" i="2"/>
  <c r="H327" i="2" s="1"/>
  <c r="J336" i="2"/>
  <c r="J327" i="2" s="1"/>
  <c r="G273" i="71"/>
  <c r="I336" i="2"/>
  <c r="I327" i="2" s="1"/>
  <c r="H251" i="2"/>
  <c r="I251" i="2"/>
  <c r="J251" i="2"/>
  <c r="J299" i="2"/>
  <c r="I299" i="2"/>
  <c r="H299" i="2"/>
  <c r="H392" i="71" l="1"/>
  <c r="G392" i="71"/>
  <c r="F392" i="71"/>
  <c r="I472" i="2"/>
  <c r="I471" i="2" s="1"/>
  <c r="J472" i="2"/>
  <c r="J471" i="2" s="1"/>
  <c r="H472" i="2"/>
  <c r="H471" i="2" s="1"/>
  <c r="H193" i="71" l="1"/>
  <c r="G193" i="71"/>
  <c r="F193" i="71"/>
  <c r="H191" i="71"/>
  <c r="G191" i="71"/>
  <c r="F191" i="71"/>
  <c r="H189" i="71"/>
  <c r="G189" i="71"/>
  <c r="F189" i="71"/>
  <c r="G141" i="71"/>
  <c r="G140" i="71" s="1"/>
  <c r="J564" i="2"/>
  <c r="J563" i="2" s="1"/>
  <c r="J562" i="2" s="1"/>
  <c r="I564" i="2"/>
  <c r="I563" i="2" s="1"/>
  <c r="I562" i="2" s="1"/>
  <c r="H564" i="2"/>
  <c r="H563" i="2" s="1"/>
  <c r="H562" i="2" s="1"/>
  <c r="F65" i="71" l="1"/>
  <c r="G188" i="71"/>
  <c r="H453" i="71"/>
  <c r="G65" i="71"/>
  <c r="H188" i="71"/>
  <c r="H65" i="71"/>
  <c r="F453" i="71"/>
  <c r="F188" i="71"/>
  <c r="G453" i="71"/>
  <c r="I143" i="2"/>
  <c r="J143" i="2"/>
  <c r="H143" i="2"/>
  <c r="J141" i="2"/>
  <c r="I141" i="2"/>
  <c r="H141" i="2"/>
  <c r="H140" i="2" l="1"/>
  <c r="H139" i="2" s="1"/>
  <c r="H138" i="2" s="1"/>
  <c r="I140" i="2"/>
  <c r="I139" i="2" s="1"/>
  <c r="I138" i="2" s="1"/>
  <c r="J140" i="2"/>
  <c r="J139" i="2" s="1"/>
  <c r="J138" i="2" s="1"/>
  <c r="F133" i="71"/>
  <c r="G133" i="71"/>
  <c r="H133" i="71"/>
  <c r="H540" i="71"/>
  <c r="G540" i="71"/>
  <c r="F540" i="71"/>
  <c r="H526" i="71"/>
  <c r="H525" i="71" s="1"/>
  <c r="H524" i="71" s="1"/>
  <c r="G526" i="71"/>
  <c r="G525" i="71" s="1"/>
  <c r="G524" i="71" s="1"/>
  <c r="F526" i="71"/>
  <c r="F525" i="71" s="1"/>
  <c r="F524" i="71" s="1"/>
  <c r="H483" i="71"/>
  <c r="G483" i="71"/>
  <c r="F483" i="71"/>
  <c r="H479" i="71"/>
  <c r="G479" i="71"/>
  <c r="F479" i="71"/>
  <c r="H472" i="71"/>
  <c r="G472" i="71"/>
  <c r="H470" i="71"/>
  <c r="G470" i="71"/>
  <c r="F470" i="71"/>
  <c r="H467" i="71"/>
  <c r="G467" i="71"/>
  <c r="F467" i="71"/>
  <c r="H464" i="71"/>
  <c r="G464" i="71"/>
  <c r="F464" i="71"/>
  <c r="H462" i="71"/>
  <c r="G462" i="71"/>
  <c r="F462" i="71"/>
  <c r="H441" i="71"/>
  <c r="H440" i="71" s="1"/>
  <c r="H439" i="71" s="1"/>
  <c r="H438" i="71" s="1"/>
  <c r="G441" i="71"/>
  <c r="G440" i="71" s="1"/>
  <c r="G439" i="71" s="1"/>
  <c r="G438" i="71" s="1"/>
  <c r="F441" i="71"/>
  <c r="F440" i="71" s="1"/>
  <c r="F439" i="71" s="1"/>
  <c r="F438" i="71" s="1"/>
  <c r="H422" i="71"/>
  <c r="G422" i="71"/>
  <c r="F422" i="71"/>
  <c r="H420" i="71"/>
  <c r="G420" i="71"/>
  <c r="F420" i="71"/>
  <c r="H418" i="71"/>
  <c r="G418" i="71"/>
  <c r="F418" i="71"/>
  <c r="H416" i="71"/>
  <c r="G416" i="71"/>
  <c r="F416" i="71"/>
  <c r="H407" i="71"/>
  <c r="G407" i="71"/>
  <c r="F407" i="71"/>
  <c r="H403" i="71"/>
  <c r="G403" i="71"/>
  <c r="F403" i="71"/>
  <c r="H399" i="71"/>
  <c r="G399" i="71"/>
  <c r="F399" i="71"/>
  <c r="H390" i="71"/>
  <c r="G390" i="71"/>
  <c r="F390" i="71"/>
  <c r="H388" i="71"/>
  <c r="G388" i="71"/>
  <c r="F388" i="71"/>
  <c r="H386" i="71"/>
  <c r="G386" i="71"/>
  <c r="F386" i="71"/>
  <c r="H382" i="71"/>
  <c r="G382" i="71"/>
  <c r="F382" i="71"/>
  <c r="H380" i="71"/>
  <c r="G380" i="71"/>
  <c r="F380" i="71"/>
  <c r="H378" i="71"/>
  <c r="G378" i="71"/>
  <c r="H376" i="71"/>
  <c r="G376" i="71"/>
  <c r="F376" i="71"/>
  <c r="J536" i="2"/>
  <c r="I536" i="2"/>
  <c r="H536" i="2"/>
  <c r="J534" i="2"/>
  <c r="I534" i="2"/>
  <c r="H534" i="2"/>
  <c r="I526" i="2"/>
  <c r="I525" i="2" s="1"/>
  <c r="J526" i="2"/>
  <c r="J525" i="2" s="1"/>
  <c r="H526" i="2"/>
  <c r="H525" i="2" s="1"/>
  <c r="I519" i="2"/>
  <c r="I518" i="2" s="1"/>
  <c r="J519" i="2"/>
  <c r="J518" i="2" s="1"/>
  <c r="H519" i="2"/>
  <c r="H518" i="2" s="1"/>
  <c r="I522" i="2"/>
  <c r="J522" i="2"/>
  <c r="H522" i="2"/>
  <c r="I492" i="2"/>
  <c r="J492" i="2"/>
  <c r="I480" i="2"/>
  <c r="J480" i="2"/>
  <c r="H480" i="2"/>
  <c r="J484" i="2"/>
  <c r="I484" i="2"/>
  <c r="H484" i="2"/>
  <c r="J434" i="2"/>
  <c r="I434" i="2"/>
  <c r="H434" i="2"/>
  <c r="J432" i="2"/>
  <c r="I432" i="2"/>
  <c r="H432" i="2"/>
  <c r="J436" i="2"/>
  <c r="I436" i="2"/>
  <c r="H436" i="2"/>
  <c r="I443" i="2"/>
  <c r="J443" i="2"/>
  <c r="H443" i="2"/>
  <c r="I439" i="2"/>
  <c r="J439" i="2"/>
  <c r="H439" i="2"/>
  <c r="F30" i="71"/>
  <c r="F29" i="71" s="1"/>
  <c r="G30" i="71"/>
  <c r="G29" i="71" s="1"/>
  <c r="H30" i="71"/>
  <c r="H29" i="71" s="1"/>
  <c r="F34" i="71"/>
  <c r="F33" i="71" s="1"/>
  <c r="G34" i="71"/>
  <c r="G33" i="71" s="1"/>
  <c r="H34" i="71"/>
  <c r="H33" i="71" s="1"/>
  <c r="F42" i="71"/>
  <c r="G42" i="71"/>
  <c r="H42" i="71"/>
  <c r="F47" i="71"/>
  <c r="F46" i="71" s="1"/>
  <c r="F45" i="71" s="1"/>
  <c r="G47" i="71"/>
  <c r="G46" i="71" s="1"/>
  <c r="G45" i="71" s="1"/>
  <c r="H47" i="71"/>
  <c r="H46" i="71" s="1"/>
  <c r="H45" i="71" s="1"/>
  <c r="F55" i="71"/>
  <c r="G55" i="71"/>
  <c r="H55" i="71"/>
  <c r="F62" i="71"/>
  <c r="F61" i="71" s="1"/>
  <c r="F60" i="71" s="1"/>
  <c r="G62" i="71"/>
  <c r="G61" i="71" s="1"/>
  <c r="G60" i="71" s="1"/>
  <c r="H62" i="71"/>
  <c r="H61" i="71" s="1"/>
  <c r="H60" i="71" s="1"/>
  <c r="F80" i="71"/>
  <c r="G80" i="71"/>
  <c r="H80" i="71"/>
  <c r="F87" i="71"/>
  <c r="G87" i="71"/>
  <c r="H87" i="71"/>
  <c r="F106" i="71"/>
  <c r="F104" i="71" s="1"/>
  <c r="G106" i="71"/>
  <c r="G104" i="71" s="1"/>
  <c r="H106" i="71"/>
  <c r="H108" i="71"/>
  <c r="F130" i="71"/>
  <c r="G130" i="71"/>
  <c r="H130" i="71"/>
  <c r="F139" i="71"/>
  <c r="G139" i="71"/>
  <c r="H141" i="71"/>
  <c r="H140" i="71" s="1"/>
  <c r="F196" i="71"/>
  <c r="G196" i="71"/>
  <c r="H196" i="71"/>
  <c r="F198" i="71"/>
  <c r="G198" i="71"/>
  <c r="H198" i="71"/>
  <c r="F200" i="71"/>
  <c r="G200" i="71"/>
  <c r="H200" i="71"/>
  <c r="F204" i="71"/>
  <c r="G204" i="71"/>
  <c r="H204" i="71"/>
  <c r="F206" i="71"/>
  <c r="G206" i="71"/>
  <c r="H206" i="71"/>
  <c r="F521" i="71"/>
  <c r="F520" i="71" s="1"/>
  <c r="G521" i="71"/>
  <c r="G520" i="71" s="1"/>
  <c r="H521" i="71"/>
  <c r="H520" i="71" s="1"/>
  <c r="G79" i="71" l="1"/>
  <c r="H79" i="71"/>
  <c r="G398" i="71"/>
  <c r="G397" i="71" s="1"/>
  <c r="G461" i="71"/>
  <c r="G460" i="71" s="1"/>
  <c r="F79" i="71"/>
  <c r="F64" i="71" s="1"/>
  <c r="J438" i="2"/>
  <c r="H139" i="71"/>
  <c r="J479" i="2"/>
  <c r="H398" i="71"/>
  <c r="H397" i="71" s="1"/>
  <c r="G355" i="71"/>
  <c r="G354" i="71" s="1"/>
  <c r="F355" i="71"/>
  <c r="F354" i="71" s="1"/>
  <c r="F398" i="71"/>
  <c r="F397" i="71" s="1"/>
  <c r="H438" i="2"/>
  <c r="I479" i="2"/>
  <c r="I438" i="2"/>
  <c r="H479" i="2"/>
  <c r="H355" i="71"/>
  <c r="H354" i="71" s="1"/>
  <c r="H461" i="71"/>
  <c r="H460" i="71" s="1"/>
  <c r="F461" i="71"/>
  <c r="F460" i="71" s="1"/>
  <c r="H64" i="71"/>
  <c r="G64" i="71"/>
  <c r="H28" i="71"/>
  <c r="G28" i="71"/>
  <c r="F28" i="71"/>
  <c r="H539" i="71"/>
  <c r="G539" i="71"/>
  <c r="G129" i="71"/>
  <c r="G103" i="71" s="1"/>
  <c r="H195" i="71"/>
  <c r="F195" i="71"/>
  <c r="G195" i="71"/>
  <c r="F129" i="71"/>
  <c r="F103" i="71" s="1"/>
  <c r="H129" i="71"/>
  <c r="G38" i="71"/>
  <c r="G37" i="71" s="1"/>
  <c r="G553" i="71"/>
  <c r="G552" i="71" s="1"/>
  <c r="G551" i="71" s="1"/>
  <c r="F50" i="71"/>
  <c r="F49" i="71" s="1"/>
  <c r="H38" i="71"/>
  <c r="H37" i="71" s="1"/>
  <c r="H553" i="71"/>
  <c r="H552" i="71" s="1"/>
  <c r="H551" i="71" s="1"/>
  <c r="H32" i="71"/>
  <c r="H513" i="71"/>
  <c r="H512" i="71" s="1"/>
  <c r="G331" i="71"/>
  <c r="G330" i="71" s="1"/>
  <c r="F209" i="71"/>
  <c r="G149" i="71"/>
  <c r="H50" i="71"/>
  <c r="H49" i="71" s="1"/>
  <c r="G32" i="71"/>
  <c r="H561" i="71"/>
  <c r="H560" i="71" s="1"/>
  <c r="F331" i="71"/>
  <c r="F330" i="71" s="1"/>
  <c r="H209" i="71"/>
  <c r="G105" i="71"/>
  <c r="G50" i="71"/>
  <c r="G49" i="71" s="1"/>
  <c r="F38" i="71"/>
  <c r="F37" i="71" s="1"/>
  <c r="F32" i="71"/>
  <c r="F553" i="71"/>
  <c r="F552" i="71" s="1"/>
  <c r="F551" i="71" s="1"/>
  <c r="G513" i="71"/>
  <c r="G512" i="71" s="1"/>
  <c r="H149" i="71"/>
  <c r="F105" i="71"/>
  <c r="G561" i="71"/>
  <c r="G560" i="71" s="1"/>
  <c r="F539" i="71"/>
  <c r="H444" i="71"/>
  <c r="H443" i="71" s="1"/>
  <c r="G444" i="71"/>
  <c r="G443" i="71" s="1"/>
  <c r="H331" i="71"/>
  <c r="H330" i="71" s="1"/>
  <c r="H431" i="2"/>
  <c r="J431" i="2"/>
  <c r="I431" i="2"/>
  <c r="F561" i="71"/>
  <c r="F560" i="71" s="1"/>
  <c r="H105" i="71"/>
  <c r="H104" i="71"/>
  <c r="G209" i="71"/>
  <c r="F157" i="71"/>
  <c r="F149" i="71"/>
  <c r="F513" i="71"/>
  <c r="F512" i="71" s="1"/>
  <c r="F444" i="71"/>
  <c r="F443" i="71" s="1"/>
  <c r="F336" i="71" l="1"/>
  <c r="G336" i="71"/>
  <c r="H336" i="71"/>
  <c r="H486" i="71"/>
  <c r="H27" i="71"/>
  <c r="F486" i="71"/>
  <c r="F27" i="71"/>
  <c r="G27" i="71"/>
  <c r="G187" i="71"/>
  <c r="G138" i="71" s="1"/>
  <c r="H187" i="71"/>
  <c r="H138" i="71" s="1"/>
  <c r="G486" i="71"/>
  <c r="F187" i="71"/>
  <c r="F138" i="71" s="1"/>
  <c r="F519" i="71"/>
  <c r="H519" i="71"/>
  <c r="H103" i="71"/>
  <c r="G519" i="71"/>
  <c r="G208" i="71" l="1"/>
  <c r="G26" i="71" s="1"/>
  <c r="H208" i="71"/>
  <c r="H26" i="71" s="1"/>
  <c r="F208" i="71"/>
  <c r="F26" i="71" s="1"/>
  <c r="E54" i="3"/>
  <c r="F54" i="3"/>
  <c r="D54" i="3"/>
  <c r="E52" i="3"/>
  <c r="F52" i="3"/>
  <c r="D50" i="3"/>
  <c r="E48" i="3"/>
  <c r="F48" i="3"/>
  <c r="D48" i="3"/>
  <c r="E46" i="3"/>
  <c r="F46" i="3"/>
  <c r="D46" i="3"/>
  <c r="E44" i="3" l="1"/>
  <c r="F44" i="3"/>
  <c r="D44" i="3"/>
  <c r="E42" i="3"/>
  <c r="F42" i="3"/>
  <c r="D42" i="3"/>
  <c r="F40" i="3"/>
  <c r="E40" i="3"/>
  <c r="E38" i="3"/>
  <c r="F38" i="3"/>
  <c r="D38" i="3"/>
  <c r="E36" i="3"/>
  <c r="F36" i="3"/>
  <c r="D36" i="3"/>
  <c r="E34" i="3"/>
  <c r="F34" i="3"/>
  <c r="D34" i="3"/>
  <c r="E32" i="3"/>
  <c r="F32" i="3"/>
  <c r="D32" i="3"/>
  <c r="E30" i="3"/>
  <c r="F30" i="3"/>
  <c r="E28" i="3"/>
  <c r="F28" i="3"/>
  <c r="D28" i="3"/>
  <c r="D27" i="3" l="1"/>
  <c r="D26" i="3" s="1"/>
  <c r="I311" i="2" l="1"/>
  <c r="J311" i="2"/>
  <c r="H311" i="2"/>
  <c r="J591" i="2" l="1"/>
  <c r="I591" i="2"/>
  <c r="H591" i="2"/>
  <c r="J589" i="2"/>
  <c r="I589" i="2"/>
  <c r="H589" i="2"/>
  <c r="J587" i="2"/>
  <c r="I587" i="2"/>
  <c r="H587" i="2"/>
  <c r="J585" i="2"/>
  <c r="I585" i="2"/>
  <c r="H585" i="2"/>
  <c r="H584" i="2" s="1"/>
  <c r="J646" i="2"/>
  <c r="I646" i="2"/>
  <c r="H646" i="2"/>
  <c r="J643" i="2"/>
  <c r="J642" i="2" s="1"/>
  <c r="I643" i="2"/>
  <c r="H643" i="2"/>
  <c r="J633" i="2"/>
  <c r="J632" i="2" s="1"/>
  <c r="I633" i="2"/>
  <c r="I632" i="2" s="1"/>
  <c r="H633" i="2"/>
  <c r="H632" i="2" s="1"/>
  <c r="J578" i="2"/>
  <c r="J575" i="2" s="1"/>
  <c r="I578" i="2"/>
  <c r="I575" i="2" s="1"/>
  <c r="H578" i="2"/>
  <c r="H575" i="2" s="1"/>
  <c r="J621" i="2"/>
  <c r="I621" i="2"/>
  <c r="H621" i="2"/>
  <c r="J619" i="2"/>
  <c r="I619" i="2"/>
  <c r="H619" i="2"/>
  <c r="J573" i="2"/>
  <c r="J572" i="2" s="1"/>
  <c r="I573" i="2"/>
  <c r="I572" i="2" s="1"/>
  <c r="I568" i="2" s="1"/>
  <c r="H573" i="2"/>
  <c r="H572" i="2" s="1"/>
  <c r="J617" i="2"/>
  <c r="I617" i="2"/>
  <c r="H617" i="2"/>
  <c r="J614" i="2"/>
  <c r="I614" i="2"/>
  <c r="H614" i="2"/>
  <c r="J568" i="2" l="1"/>
  <c r="H568" i="2"/>
  <c r="H613" i="2"/>
  <c r="H603" i="2" s="1"/>
  <c r="H602" i="2" s="1"/>
  <c r="I613" i="2"/>
  <c r="I603" i="2" s="1"/>
  <c r="I602" i="2" s="1"/>
  <c r="J613" i="2"/>
  <c r="J603" i="2" s="1"/>
  <c r="J602" i="2" s="1"/>
  <c r="I642" i="2"/>
  <c r="I584" i="2"/>
  <c r="I583" i="2" s="1"/>
  <c r="J584" i="2"/>
  <c r="J583" i="2" s="1"/>
  <c r="H642" i="2"/>
  <c r="J323" i="2" l="1"/>
  <c r="I323" i="2"/>
  <c r="H323" i="2"/>
  <c r="J321" i="2"/>
  <c r="I321" i="2"/>
  <c r="H321" i="2"/>
  <c r="J319" i="2"/>
  <c r="I319" i="2"/>
  <c r="J317" i="2"/>
  <c r="I317" i="2"/>
  <c r="H317" i="2"/>
  <c r="J315" i="2"/>
  <c r="I315" i="2"/>
  <c r="H315" i="2"/>
  <c r="J313" i="2"/>
  <c r="I313" i="2"/>
  <c r="H313" i="2"/>
  <c r="J309" i="2"/>
  <c r="I309" i="2"/>
  <c r="H309" i="2"/>
  <c r="J307" i="2"/>
  <c r="I307" i="2"/>
  <c r="H307" i="2"/>
  <c r="J305" i="2"/>
  <c r="I305" i="2"/>
  <c r="H305" i="2"/>
  <c r="J303" i="2"/>
  <c r="I303" i="2"/>
  <c r="H303" i="2"/>
  <c r="J301" i="2"/>
  <c r="I301" i="2"/>
  <c r="H301" i="2"/>
  <c r="J272" i="2"/>
  <c r="I272" i="2"/>
  <c r="H272" i="2"/>
  <c r="J284" i="2"/>
  <c r="I284" i="2"/>
  <c r="H284" i="2"/>
  <c r="J282" i="2"/>
  <c r="I282" i="2"/>
  <c r="H282" i="2"/>
  <c r="J280" i="2"/>
  <c r="I280" i="2"/>
  <c r="H280" i="2"/>
  <c r="J278" i="2"/>
  <c r="I278" i="2"/>
  <c r="H278" i="2"/>
  <c r="J276" i="2"/>
  <c r="I276" i="2"/>
  <c r="H276" i="2"/>
  <c r="J274" i="2"/>
  <c r="I274" i="2"/>
  <c r="H274" i="2"/>
  <c r="J269" i="2"/>
  <c r="J268" i="2" s="1"/>
  <c r="I269" i="2"/>
  <c r="I268" i="2" s="1"/>
  <c r="H269" i="2"/>
  <c r="H268" i="2" s="1"/>
  <c r="J271" i="2" l="1"/>
  <c r="I271" i="2"/>
  <c r="H271" i="2"/>
  <c r="H267" i="2" s="1"/>
  <c r="I298" i="2"/>
  <c r="I294" i="2" s="1"/>
  <c r="J298" i="2"/>
  <c r="J294" i="2" s="1"/>
  <c r="H298" i="2"/>
  <c r="H294" i="2" s="1"/>
  <c r="J267" i="2"/>
  <c r="I267" i="2"/>
  <c r="J87" i="2" l="1"/>
  <c r="I87" i="2"/>
  <c r="J40" i="2" l="1"/>
  <c r="I40" i="2"/>
  <c r="H40" i="2"/>
  <c r="J38" i="2"/>
  <c r="I38" i="2"/>
  <c r="H38" i="2"/>
  <c r="J244" i="2" l="1"/>
  <c r="I244" i="2"/>
  <c r="H244" i="2"/>
  <c r="J242" i="2"/>
  <c r="I242" i="2"/>
  <c r="H242" i="2"/>
  <c r="J240" i="2"/>
  <c r="I240" i="2"/>
  <c r="H240" i="2"/>
  <c r="J238" i="2"/>
  <c r="I238" i="2"/>
  <c r="H238" i="2"/>
  <c r="J236" i="2"/>
  <c r="I236" i="2"/>
  <c r="H236" i="2"/>
  <c r="J232" i="2"/>
  <c r="I232" i="2"/>
  <c r="H232" i="2"/>
  <c r="J228" i="2"/>
  <c r="I228" i="2"/>
  <c r="H228" i="2"/>
  <c r="I227" i="2" l="1"/>
  <c r="J227" i="2"/>
  <c r="H227" i="2"/>
  <c r="I253" i="2"/>
  <c r="J253" i="2"/>
  <c r="J599" i="2" l="1"/>
  <c r="I599" i="2"/>
  <c r="H599" i="2"/>
  <c r="J597" i="2"/>
  <c r="I597" i="2"/>
  <c r="H597" i="2"/>
  <c r="J595" i="2"/>
  <c r="I595" i="2"/>
  <c r="H595" i="2"/>
  <c r="J165" i="2"/>
  <c r="I165" i="2"/>
  <c r="H165" i="2"/>
  <c r="J163" i="2"/>
  <c r="I163" i="2"/>
  <c r="H163" i="2"/>
  <c r="J160" i="2"/>
  <c r="J159" i="2" s="1"/>
  <c r="I160" i="2"/>
  <c r="I159" i="2" s="1"/>
  <c r="H160" i="2"/>
  <c r="H159" i="2" s="1"/>
  <c r="J181" i="2"/>
  <c r="I181" i="2"/>
  <c r="H181" i="2"/>
  <c r="J179" i="2"/>
  <c r="I179" i="2"/>
  <c r="H179" i="2"/>
  <c r="J177" i="2"/>
  <c r="I177" i="2"/>
  <c r="H177" i="2"/>
  <c r="J175" i="2"/>
  <c r="I175" i="2"/>
  <c r="H175" i="2"/>
  <c r="J170" i="2"/>
  <c r="J169" i="2" s="1"/>
  <c r="I170" i="2"/>
  <c r="I169" i="2" s="1"/>
  <c r="H170" i="2"/>
  <c r="H169" i="2" s="1"/>
  <c r="H174" i="2" l="1"/>
  <c r="I162" i="2"/>
  <c r="J162" i="2"/>
  <c r="H162" i="2"/>
  <c r="I174" i="2"/>
  <c r="J174" i="2"/>
  <c r="I594" i="2"/>
  <c r="I593" i="2" s="1"/>
  <c r="J594" i="2"/>
  <c r="J593" i="2" s="1"/>
  <c r="H594" i="2"/>
  <c r="H593" i="2" s="1"/>
  <c r="J259" i="2"/>
  <c r="I259" i="2"/>
  <c r="H259" i="2"/>
  <c r="J257" i="2"/>
  <c r="I257" i="2"/>
  <c r="H257" i="2"/>
  <c r="J255" i="2"/>
  <c r="J250" i="2" s="1"/>
  <c r="I255" i="2"/>
  <c r="H255" i="2"/>
  <c r="H253" i="2"/>
  <c r="J362" i="2"/>
  <c r="I362" i="2"/>
  <c r="H362" i="2"/>
  <c r="J360" i="2"/>
  <c r="I360" i="2"/>
  <c r="H360" i="2"/>
  <c r="J406" i="2"/>
  <c r="I406" i="2"/>
  <c r="H406" i="2"/>
  <c r="J404" i="2"/>
  <c r="I404" i="2"/>
  <c r="H404" i="2"/>
  <c r="J402" i="2"/>
  <c r="I402" i="2"/>
  <c r="H402" i="2"/>
  <c r="J400" i="2"/>
  <c r="I400" i="2"/>
  <c r="H250" i="2" l="1"/>
  <c r="H249" i="2" s="1"/>
  <c r="H248" i="2" s="1"/>
  <c r="I250" i="2"/>
  <c r="I249" i="2" s="1"/>
  <c r="I359" i="2"/>
  <c r="J359" i="2"/>
  <c r="H359" i="2"/>
  <c r="I397" i="2"/>
  <c r="I396" i="2" s="1"/>
  <c r="I395" i="2" s="1"/>
  <c r="I394" i="2" s="1"/>
  <c r="H397" i="2"/>
  <c r="H396" i="2" s="1"/>
  <c r="H395" i="2" s="1"/>
  <c r="J397" i="2"/>
  <c r="J396" i="2" s="1"/>
  <c r="J395" i="2" s="1"/>
  <c r="J394" i="2" s="1"/>
  <c r="J249" i="2"/>
  <c r="J127" i="2"/>
  <c r="I127" i="2"/>
  <c r="H127" i="2"/>
  <c r="J125" i="2"/>
  <c r="I125" i="2"/>
  <c r="H125" i="2"/>
  <c r="J122" i="2"/>
  <c r="I122" i="2"/>
  <c r="H122" i="2"/>
  <c r="J120" i="2"/>
  <c r="I120" i="2"/>
  <c r="H120" i="2"/>
  <c r="J118" i="2"/>
  <c r="I118" i="2"/>
  <c r="H118" i="2"/>
  <c r="I117" i="2" l="1"/>
  <c r="I116" i="2" s="1"/>
  <c r="J117" i="2"/>
  <c r="J116" i="2" s="1"/>
  <c r="H117" i="2"/>
  <c r="H116" i="2" s="1"/>
  <c r="J544" i="2"/>
  <c r="J543" i="2" s="1"/>
  <c r="I544" i="2"/>
  <c r="I543" i="2" s="1"/>
  <c r="H544" i="2"/>
  <c r="H543" i="2" s="1"/>
  <c r="J532" i="2" l="1"/>
  <c r="I532" i="2"/>
  <c r="H532" i="2"/>
  <c r="J530" i="2"/>
  <c r="I530" i="2"/>
  <c r="H530" i="2"/>
  <c r="J503" i="2"/>
  <c r="I503" i="2"/>
  <c r="H503" i="2"/>
  <c r="J501" i="2"/>
  <c r="I501" i="2"/>
  <c r="H501" i="2"/>
  <c r="J499" i="2"/>
  <c r="I499" i="2"/>
  <c r="H499" i="2"/>
  <c r="J490" i="2"/>
  <c r="I490" i="2"/>
  <c r="H490" i="2"/>
  <c r="J469" i="2"/>
  <c r="I469" i="2"/>
  <c r="H469" i="2"/>
  <c r="J467" i="2"/>
  <c r="I467" i="2"/>
  <c r="H467" i="2"/>
  <c r="J465" i="2"/>
  <c r="I465" i="2"/>
  <c r="H465" i="2"/>
  <c r="J461" i="2"/>
  <c r="I461" i="2"/>
  <c r="H461" i="2"/>
  <c r="J459" i="2"/>
  <c r="I459" i="2"/>
  <c r="H459" i="2"/>
  <c r="J457" i="2"/>
  <c r="I457" i="2"/>
  <c r="J455" i="2"/>
  <c r="I455" i="2"/>
  <c r="H455" i="2"/>
  <c r="J556" i="2"/>
  <c r="J555" i="2" s="1"/>
  <c r="I556" i="2"/>
  <c r="I555" i="2" s="1"/>
  <c r="H556" i="2"/>
  <c r="H555" i="2" s="1"/>
  <c r="J422" i="2"/>
  <c r="I422" i="2"/>
  <c r="H422" i="2"/>
  <c r="J420" i="2"/>
  <c r="I420" i="2"/>
  <c r="H420" i="2"/>
  <c r="J418" i="2"/>
  <c r="I418" i="2"/>
  <c r="H418" i="2"/>
  <c r="J416" i="2"/>
  <c r="I416" i="2"/>
  <c r="H416" i="2"/>
  <c r="J197" i="2"/>
  <c r="I197" i="2"/>
  <c r="H197" i="2"/>
  <c r="J195" i="2"/>
  <c r="I195" i="2"/>
  <c r="H195" i="2"/>
  <c r="J193" i="2"/>
  <c r="I193" i="2"/>
  <c r="H193" i="2"/>
  <c r="J191" i="2"/>
  <c r="J190" i="2" s="1"/>
  <c r="I191" i="2"/>
  <c r="I190" i="2" s="1"/>
  <c r="H191" i="2"/>
  <c r="I415" i="2" l="1"/>
  <c r="H190" i="2"/>
  <c r="H168" i="2" s="1"/>
  <c r="J415" i="2"/>
  <c r="H415" i="2"/>
  <c r="J168" i="2"/>
  <c r="H454" i="2"/>
  <c r="H430" i="2" s="1"/>
  <c r="H429" i="2" s="1"/>
  <c r="J454" i="2"/>
  <c r="J430" i="2" s="1"/>
  <c r="J429" i="2" s="1"/>
  <c r="I454" i="2"/>
  <c r="I430" i="2" s="1"/>
  <c r="I429" i="2" s="1"/>
  <c r="I168" i="2"/>
  <c r="I489" i="2"/>
  <c r="J489" i="2"/>
  <c r="H489" i="2"/>
  <c r="I411" i="2"/>
  <c r="I410" i="2" s="1"/>
  <c r="J411" i="2"/>
  <c r="J410" i="2" s="1"/>
  <c r="H411" i="2"/>
  <c r="H410" i="2" s="1"/>
  <c r="J343" i="2" l="1"/>
  <c r="J342" i="2" s="1"/>
  <c r="I343" i="2"/>
  <c r="I342" i="2" s="1"/>
  <c r="H343" i="2"/>
  <c r="H342" i="2" l="1"/>
  <c r="H341" i="2" s="1"/>
  <c r="H293" i="2" s="1"/>
  <c r="J392" i="2"/>
  <c r="I392" i="2"/>
  <c r="H392" i="2"/>
  <c r="J389" i="2"/>
  <c r="J388" i="2" s="1"/>
  <c r="I389" i="2"/>
  <c r="I388" i="2" s="1"/>
  <c r="H389" i="2"/>
  <c r="H388" i="2" s="1"/>
  <c r="J386" i="2"/>
  <c r="J385" i="2" s="1"/>
  <c r="I386" i="2"/>
  <c r="I385" i="2" s="1"/>
  <c r="H386" i="2"/>
  <c r="H385" i="2" s="1"/>
  <c r="J133" i="2" l="1"/>
  <c r="J129" i="2" s="1"/>
  <c r="I133" i="2"/>
  <c r="I129" i="2" s="1"/>
  <c r="H133" i="2" l="1"/>
  <c r="J660" i="2"/>
  <c r="J659" i="2" s="1"/>
  <c r="J658" i="2" s="1"/>
  <c r="I660" i="2"/>
  <c r="I659" i="2" s="1"/>
  <c r="I658" i="2" s="1"/>
  <c r="H660" i="2"/>
  <c r="H659" i="2" s="1"/>
  <c r="H658" i="2" s="1"/>
  <c r="H652" i="2"/>
  <c r="H651" i="2" s="1"/>
  <c r="J653" i="2"/>
  <c r="J652" i="2" s="1"/>
  <c r="J651" i="2" s="1"/>
  <c r="J650" i="2" s="1"/>
  <c r="I653" i="2"/>
  <c r="I652" i="2" s="1"/>
  <c r="I651" i="2" s="1"/>
  <c r="I650" i="2" s="1"/>
  <c r="H636" i="2"/>
  <c r="H635" i="2" s="1"/>
  <c r="J636" i="2"/>
  <c r="J635" i="2" s="1"/>
  <c r="I636" i="2"/>
  <c r="I635" i="2" s="1"/>
  <c r="J554" i="2"/>
  <c r="J553" i="2" s="1"/>
  <c r="I554" i="2"/>
  <c r="I553" i="2" s="1"/>
  <c r="H554" i="2"/>
  <c r="H553" i="2" s="1"/>
  <c r="J551" i="2"/>
  <c r="I551" i="2"/>
  <c r="H551" i="2"/>
  <c r="J539" i="2"/>
  <c r="J529" i="2" s="1"/>
  <c r="I539" i="2"/>
  <c r="I529" i="2" s="1"/>
  <c r="H539" i="2"/>
  <c r="H529" i="2" s="1"/>
  <c r="J521" i="2"/>
  <c r="I521" i="2"/>
  <c r="H521" i="2"/>
  <c r="I514" i="2"/>
  <c r="H514" i="2"/>
  <c r="J514" i="2"/>
  <c r="J513" i="2" s="1"/>
  <c r="J512" i="2" s="1"/>
  <c r="J511" i="2" s="1"/>
  <c r="J506" i="2"/>
  <c r="J505" i="2" s="1"/>
  <c r="I506" i="2"/>
  <c r="I505" i="2" s="1"/>
  <c r="H506" i="2"/>
  <c r="H505" i="2" s="1"/>
  <c r="J391" i="2"/>
  <c r="J384" i="2" s="1"/>
  <c r="J383" i="2" s="1"/>
  <c r="I391" i="2"/>
  <c r="I384" i="2" s="1"/>
  <c r="I383" i="2" s="1"/>
  <c r="H391" i="2"/>
  <c r="H384" i="2" s="1"/>
  <c r="H383" i="2" s="1"/>
  <c r="J373" i="2"/>
  <c r="J372" i="2" s="1"/>
  <c r="I373" i="2"/>
  <c r="I372" i="2" s="1"/>
  <c r="H373" i="2"/>
  <c r="H372" i="2" s="1"/>
  <c r="J368" i="2"/>
  <c r="I368" i="2"/>
  <c r="H368" i="2"/>
  <c r="H367" i="2" s="1"/>
  <c r="H366" i="2" s="1"/>
  <c r="H365" i="2" s="1"/>
  <c r="J341" i="2"/>
  <c r="J293" i="2" s="1"/>
  <c r="I341" i="2"/>
  <c r="I293" i="2" s="1"/>
  <c r="J248" i="2"/>
  <c r="I248" i="2"/>
  <c r="H226" i="2"/>
  <c r="J226" i="2"/>
  <c r="I226" i="2"/>
  <c r="H149" i="2"/>
  <c r="H148" i="2" s="1"/>
  <c r="J149" i="2"/>
  <c r="J148" i="2" s="1"/>
  <c r="I149" i="2"/>
  <c r="I148" i="2" s="1"/>
  <c r="J113" i="2"/>
  <c r="J110" i="2" s="1"/>
  <c r="I113" i="2"/>
  <c r="I110" i="2" s="1"/>
  <c r="H113" i="2"/>
  <c r="H110" i="2" s="1"/>
  <c r="J95" i="2"/>
  <c r="I95" i="2"/>
  <c r="H95" i="2"/>
  <c r="J92" i="2"/>
  <c r="I92" i="2"/>
  <c r="H92" i="2"/>
  <c r="H86" i="2"/>
  <c r="J86" i="2"/>
  <c r="I86" i="2"/>
  <c r="J83" i="2"/>
  <c r="J82" i="2" s="1"/>
  <c r="I83" i="2"/>
  <c r="I82" i="2" s="1"/>
  <c r="H83" i="2"/>
  <c r="H82" i="2" s="1"/>
  <c r="J63" i="2"/>
  <c r="J62" i="2" s="1"/>
  <c r="J61" i="2" s="1"/>
  <c r="J60" i="2" s="1"/>
  <c r="I63" i="2"/>
  <c r="I62" i="2" s="1"/>
  <c r="I61" i="2" s="1"/>
  <c r="I60" i="2" s="1"/>
  <c r="H63" i="2"/>
  <c r="H62" i="2" s="1"/>
  <c r="H61" i="2" s="1"/>
  <c r="H60" i="2" s="1"/>
  <c r="J57" i="2"/>
  <c r="J56" i="2" s="1"/>
  <c r="I57" i="2"/>
  <c r="I56" i="2" s="1"/>
  <c r="H57" i="2"/>
  <c r="H56" i="2" s="1"/>
  <c r="J52" i="2"/>
  <c r="I52" i="2"/>
  <c r="H52" i="2"/>
  <c r="H48" i="2"/>
  <c r="J48" i="2"/>
  <c r="J47" i="2" s="1"/>
  <c r="I48" i="2"/>
  <c r="I47" i="2" s="1"/>
  <c r="H129" i="2" l="1"/>
  <c r="H115" i="2" s="1"/>
  <c r="I91" i="2"/>
  <c r="H650" i="2"/>
  <c r="J91" i="2"/>
  <c r="I478" i="2"/>
  <c r="I477" i="2" s="1"/>
  <c r="J478" i="2"/>
  <c r="J477" i="2" s="1"/>
  <c r="H91" i="2"/>
  <c r="H81" i="2" s="1"/>
  <c r="H478" i="2"/>
  <c r="H477" i="2" s="1"/>
  <c r="I371" i="2"/>
  <c r="I370" i="2" s="1"/>
  <c r="J203" i="2"/>
  <c r="J202" i="2" s="1"/>
  <c r="I203" i="2"/>
  <c r="I202" i="2" s="1"/>
  <c r="H203" i="2"/>
  <c r="H202" i="2" s="1"/>
  <c r="I67" i="2"/>
  <c r="I66" i="2" s="1"/>
  <c r="J67" i="2"/>
  <c r="J66" i="2" s="1"/>
  <c r="H67" i="2"/>
  <c r="H66" i="2" s="1"/>
  <c r="J517" i="2"/>
  <c r="J561" i="2"/>
  <c r="J560" i="2" s="1"/>
  <c r="H561" i="2"/>
  <c r="H560" i="2" s="1"/>
  <c r="I561" i="2"/>
  <c r="I560" i="2" s="1"/>
  <c r="I550" i="2"/>
  <c r="I549" i="2" s="1"/>
  <c r="I548" i="2" s="1"/>
  <c r="I547" i="2" s="1"/>
  <c r="H550" i="2"/>
  <c r="H549" i="2" s="1"/>
  <c r="H548" i="2" s="1"/>
  <c r="H547" i="2" s="1"/>
  <c r="J550" i="2"/>
  <c r="J549" i="2" s="1"/>
  <c r="J548" i="2" s="1"/>
  <c r="J547" i="2" s="1"/>
  <c r="H517" i="2"/>
  <c r="H516" i="2" s="1"/>
  <c r="I517" i="2"/>
  <c r="J147" i="2"/>
  <c r="J146" i="2" s="1"/>
  <c r="I147" i="2"/>
  <c r="I146" i="2" s="1"/>
  <c r="I81" i="2"/>
  <c r="H649" i="2"/>
  <c r="H358" i="2"/>
  <c r="H357" i="2" s="1"/>
  <c r="I115" i="2"/>
  <c r="J367" i="2"/>
  <c r="J366" i="2" s="1"/>
  <c r="J365" i="2" s="1"/>
  <c r="J81" i="2"/>
  <c r="I513" i="2"/>
  <c r="I512" i="2" s="1"/>
  <c r="I511" i="2" s="1"/>
  <c r="H112" i="2"/>
  <c r="H111" i="2" s="1"/>
  <c r="J371" i="2"/>
  <c r="J370" i="2" s="1"/>
  <c r="F50" i="3"/>
  <c r="F27" i="3" s="1"/>
  <c r="F26" i="3" s="1"/>
  <c r="J158" i="2"/>
  <c r="J157" i="2" s="1"/>
  <c r="J115" i="2"/>
  <c r="H29" i="2"/>
  <c r="H28" i="2" s="1"/>
  <c r="H27" i="2" s="1"/>
  <c r="H26" i="2" s="1"/>
  <c r="I46" i="2"/>
  <c r="I45" i="2" s="1"/>
  <c r="H147" i="2"/>
  <c r="H146" i="2" s="1"/>
  <c r="J631" i="2"/>
  <c r="J630" i="2" s="1"/>
  <c r="J649" i="2"/>
  <c r="I358" i="2"/>
  <c r="I357" i="2" s="1"/>
  <c r="J641" i="2"/>
  <c r="J640" i="2" s="1"/>
  <c r="J639" i="2" s="1"/>
  <c r="H641" i="2"/>
  <c r="H640" i="2" s="1"/>
  <c r="H639" i="2" s="1"/>
  <c r="I641" i="2"/>
  <c r="I640" i="2" s="1"/>
  <c r="I639" i="2" s="1"/>
  <c r="I631" i="2"/>
  <c r="I630" i="2" s="1"/>
  <c r="I367" i="2"/>
  <c r="I366" i="2" s="1"/>
  <c r="I365" i="2" s="1"/>
  <c r="J358" i="2"/>
  <c r="J357" i="2" s="1"/>
  <c r="I167" i="2"/>
  <c r="J167" i="2"/>
  <c r="H158" i="2"/>
  <c r="H157" i="2" s="1"/>
  <c r="I158" i="2"/>
  <c r="I157" i="2" s="1"/>
  <c r="I112" i="2"/>
  <c r="I111" i="2" s="1"/>
  <c r="I51" i="2"/>
  <c r="I50" i="2" s="1"/>
  <c r="J51" i="2"/>
  <c r="J50" i="2" s="1"/>
  <c r="H51" i="2"/>
  <c r="H50" i="2" s="1"/>
  <c r="J46" i="2"/>
  <c r="J45" i="2" s="1"/>
  <c r="I37" i="2"/>
  <c r="I36" i="2" s="1"/>
  <c r="I35" i="2" s="1"/>
  <c r="I34" i="2" s="1"/>
  <c r="J37" i="2"/>
  <c r="J36" i="2" s="1"/>
  <c r="J35" i="2" s="1"/>
  <c r="J34" i="2" s="1"/>
  <c r="I29" i="2"/>
  <c r="I28" i="2" s="1"/>
  <c r="I27" i="2" s="1"/>
  <c r="I26" i="2" s="1"/>
  <c r="J29" i="2"/>
  <c r="J28" i="2" s="1"/>
  <c r="J27" i="2" s="1"/>
  <c r="J26" i="2" s="1"/>
  <c r="E50" i="3"/>
  <c r="E27" i="3" s="1"/>
  <c r="E26" i="3" s="1"/>
  <c r="H37" i="2"/>
  <c r="H36" i="2" s="1"/>
  <c r="H35" i="2" s="1"/>
  <c r="H34" i="2" s="1"/>
  <c r="H167" i="2"/>
  <c r="H46" i="2"/>
  <c r="H45" i="2" s="1"/>
  <c r="H47" i="2"/>
  <c r="J112" i="2"/>
  <c r="J111" i="2" s="1"/>
  <c r="H513" i="2"/>
  <c r="H512" i="2" s="1"/>
  <c r="H511" i="2" s="1"/>
  <c r="H371" i="2"/>
  <c r="H370" i="2" s="1"/>
  <c r="H631" i="2"/>
  <c r="H630" i="2" s="1"/>
  <c r="H567" i="2"/>
  <c r="I649" i="2"/>
  <c r="I65" i="2" l="1"/>
  <c r="I44" i="2" s="1"/>
  <c r="H65" i="2"/>
  <c r="H44" i="2" s="1"/>
  <c r="J65" i="2"/>
  <c r="J44" i="2" s="1"/>
  <c r="H210" i="2"/>
  <c r="H201" i="2" s="1"/>
  <c r="J109" i="2"/>
  <c r="I109" i="2"/>
  <c r="H109" i="2"/>
  <c r="J516" i="2"/>
  <c r="I516" i="2"/>
  <c r="I409" i="2" s="1"/>
  <c r="I408" i="2" s="1"/>
  <c r="I567" i="2"/>
  <c r="H409" i="2"/>
  <c r="H408" i="2" s="1"/>
  <c r="H225" i="2"/>
  <c r="I582" i="2"/>
  <c r="H583" i="2"/>
  <c r="H582" i="2" s="1"/>
  <c r="H566" i="2" s="1"/>
  <c r="J364" i="2"/>
  <c r="J225" i="2"/>
  <c r="J567" i="2"/>
  <c r="J582" i="2"/>
  <c r="H364" i="2"/>
  <c r="H394" i="2"/>
  <c r="J210" i="2"/>
  <c r="J201" i="2" s="1"/>
  <c r="I364" i="2"/>
  <c r="I225" i="2"/>
  <c r="I210" i="2"/>
  <c r="I201" i="2" s="1"/>
  <c r="J409" i="2" l="1"/>
  <c r="J408" i="2" s="1"/>
  <c r="J601" i="2"/>
  <c r="H601" i="2"/>
  <c r="H559" i="2" s="1"/>
  <c r="I601" i="2"/>
  <c r="J224" i="2"/>
  <c r="I224" i="2"/>
  <c r="H224" i="2"/>
  <c r="I566" i="2"/>
  <c r="J566" i="2"/>
  <c r="I145" i="2"/>
  <c r="H145" i="2"/>
  <c r="J145" i="2"/>
  <c r="H43" i="2" l="1"/>
  <c r="H25" i="2" s="1"/>
  <c r="J43" i="2"/>
  <c r="I43" i="2"/>
  <c r="J559" i="2"/>
  <c r="I559" i="2"/>
  <c r="J25" i="2" l="1"/>
  <c r="I25" i="2"/>
  <c r="F37" i="1" l="1"/>
  <c r="G37" i="1"/>
  <c r="F46" i="1" l="1"/>
  <c r="G46" i="1"/>
  <c r="E46" i="1"/>
  <c r="G67" i="1" l="1"/>
  <c r="F67" i="1"/>
  <c r="E67" i="1"/>
  <c r="G65" i="1"/>
  <c r="F65" i="1"/>
  <c r="E65" i="1"/>
  <c r="G61" i="1"/>
  <c r="F61" i="1"/>
  <c r="F26" i="1" s="1"/>
  <c r="E61" i="1"/>
  <c r="E58" i="1"/>
  <c r="G58" i="1"/>
  <c r="F58" i="1"/>
  <c r="G51" i="1"/>
  <c r="F51" i="1"/>
  <c r="E51" i="1"/>
  <c r="G41" i="1"/>
  <c r="F41" i="1"/>
  <c r="E41" i="1"/>
  <c r="E37" i="1"/>
  <c r="E27" i="1"/>
  <c r="G26" i="1" l="1"/>
  <c r="E26" i="1"/>
</calcChain>
</file>

<file path=xl/sharedStrings.xml><?xml version="1.0" encoding="utf-8"?>
<sst xmlns="http://schemas.openxmlformats.org/spreadsheetml/2006/main" count="5201" uniqueCount="719">
  <si>
    <t>Транспорт</t>
  </si>
  <si>
    <t>Профессиональная подготовка, переподготовка и повышение квалификации</t>
  </si>
  <si>
    <t>Другие вопросы в области национальной экономики</t>
  </si>
  <si>
    <t>Резервные фонды</t>
  </si>
  <si>
    <t>Массовый спорт</t>
  </si>
  <si>
    <t xml:space="preserve">Другие вопросы в области культуры, кинематографии </t>
  </si>
  <si>
    <t>Средства массовой информации</t>
  </si>
  <si>
    <t>13</t>
  </si>
  <si>
    <t>Обеспечение деятельности финансовых, налоговых и таможенных органов и органов (финансово-бюджетного) надзора</t>
  </si>
  <si>
    <t>Резервные фонды  местных администраций</t>
  </si>
  <si>
    <t>810</t>
  </si>
  <si>
    <t>Охрана семьи и детства</t>
  </si>
  <si>
    <t>Другие вопросы в области средств массовой информации</t>
  </si>
  <si>
    <t>Реализация государственных полномочий по созданию, исполнению полномочий и обеспечению деятельности комиссий по делам несовершеннолетних и защите их прав</t>
  </si>
  <si>
    <t>Осуществление  государственных полномочий Тверской области по созданию административных комиссий</t>
  </si>
  <si>
    <t>Функционирование высшего должностного лица субъекта Российской Федерации и муниципального образования</t>
  </si>
  <si>
    <t>Органы юстиции</t>
  </si>
  <si>
    <t>630</t>
  </si>
  <si>
    <t xml:space="preserve">Культура и кинематография </t>
  </si>
  <si>
    <t>Р</t>
  </si>
  <si>
    <t>Другие вопросы в области национальной безопасности и правоохранительной деятельности</t>
  </si>
  <si>
    <t>Обустройство и ремонт контейнерных площадок</t>
  </si>
  <si>
    <t>9940000000</t>
  </si>
  <si>
    <t>П</t>
  </si>
  <si>
    <t>Сумма тыс.руб.</t>
  </si>
  <si>
    <t>Расходы на обеспечение деятельности представительного органа местного самоуправления</t>
  </si>
  <si>
    <t>Расходы на обеспечение деятельности исполнительного органа местного самоуправления</t>
  </si>
  <si>
    <t>1300000000</t>
  </si>
  <si>
    <t>Отдельные мероприятия, не включенные в муниципальные программы</t>
  </si>
  <si>
    <t>Реализация  функций, связанных с общегосударственным управлением</t>
  </si>
  <si>
    <t>Прочие выплаты по обязательствам муниципального образования</t>
  </si>
  <si>
    <t>Коммунальное хозяйство</t>
  </si>
  <si>
    <t>Жилищное хозяйство</t>
  </si>
  <si>
    <t>Финансовое обеспечение повышения квалификации и профессиональной подготовки педагогических кадров</t>
  </si>
  <si>
    <t>Жилищно-коммунальное хозяйство</t>
  </si>
  <si>
    <t>Благоустройство</t>
  </si>
  <si>
    <t>Организационное и методическое сопровождение государственной итоговой аттестации</t>
  </si>
  <si>
    <t>1100000000</t>
  </si>
  <si>
    <t>0200000000</t>
  </si>
  <si>
    <t>Командирование спортсменов муниципального образования для участия в официальных областных спортивно-массовых мероприятиях и соревнованиях</t>
  </si>
  <si>
    <t>120</t>
  </si>
  <si>
    <t>Расходы на выплаты персоналу государственных (муниципальных) органов</t>
  </si>
  <si>
    <t>110</t>
  </si>
  <si>
    <t>0600000000</t>
  </si>
  <si>
    <t>0900000000</t>
  </si>
  <si>
    <t>0300000000</t>
  </si>
  <si>
    <t>0100000000</t>
  </si>
  <si>
    <t>Расходы на выплату персоналу государственных (муниципальных) органов</t>
  </si>
  <si>
    <t xml:space="preserve">                                                        </t>
  </si>
  <si>
    <t>870</t>
  </si>
  <si>
    <t>Резервные средства</t>
  </si>
  <si>
    <t xml:space="preserve">к решению Собрания депутатов </t>
  </si>
  <si>
    <t>№ п/п</t>
  </si>
  <si>
    <t>01</t>
  </si>
  <si>
    <t>02</t>
  </si>
  <si>
    <t xml:space="preserve">                                 Наименование</t>
  </si>
  <si>
    <t>Общегосударственные вопросы</t>
  </si>
  <si>
    <t>В С Е Г О:</t>
  </si>
  <si>
    <t>03</t>
  </si>
  <si>
    <t>04</t>
  </si>
  <si>
    <t>05</t>
  </si>
  <si>
    <t>06</t>
  </si>
  <si>
    <t>Другие общегосударственные вопросы</t>
  </si>
  <si>
    <t>Национальная безопасность и правоохранительная деятельность</t>
  </si>
  <si>
    <t>09</t>
  </si>
  <si>
    <t>Национальная экономика</t>
  </si>
  <si>
    <t>08</t>
  </si>
  <si>
    <t>11</t>
  </si>
  <si>
    <t>Сельское хозяйство и рыболовство</t>
  </si>
  <si>
    <t>07</t>
  </si>
  <si>
    <t>Образование</t>
  </si>
  <si>
    <t>Культура</t>
  </si>
  <si>
    <t>Дошкольное образование</t>
  </si>
  <si>
    <t>Общее образование</t>
  </si>
  <si>
    <t>Другие вопросы в области образования</t>
  </si>
  <si>
    <t>10</t>
  </si>
  <si>
    <t>Социальная политика</t>
  </si>
  <si>
    <t>Пенсионное обеспечение</t>
  </si>
  <si>
    <t>КВР</t>
  </si>
  <si>
    <t>Глава муниципального образования</t>
  </si>
  <si>
    <t>Центральный аппарат</t>
  </si>
  <si>
    <t>Социальное обеспечение населения</t>
  </si>
  <si>
    <t xml:space="preserve"> Р</t>
  </si>
  <si>
    <t xml:space="preserve"> П</t>
  </si>
  <si>
    <t xml:space="preserve"> КЦСР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</si>
  <si>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</si>
  <si>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14</t>
  </si>
  <si>
    <t>12</t>
  </si>
  <si>
    <t>Физическая культура и спорт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</si>
  <si>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</si>
  <si>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</si>
  <si>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Защита населения и территории от чрезвычайных ситуаций природного и техногенного характера, гражданская оборона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</si>
  <si>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</si>
  <si>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ППП</t>
  </si>
  <si>
    <t>"О районном бюджете Удомельского района на 2016 год"</t>
  </si>
  <si>
    <t>Расходы на выплаты персоналу казенных учреждений</t>
  </si>
  <si>
    <t>850</t>
  </si>
  <si>
    <t>Уплата налогов, сборов и иных платежей</t>
  </si>
  <si>
    <t>Финансовое обеспечение массовых мероприятий муниципального значения, способствующих духовно-нравственному воспитанию детей и формированию гражданской позиции</t>
  </si>
  <si>
    <t xml:space="preserve"> Удомельского района от 17.12.2015 № 256</t>
  </si>
  <si>
    <t xml:space="preserve"> Приложение 1</t>
  </si>
  <si>
    <t>плановый период</t>
  </si>
  <si>
    <t>2018 год</t>
  </si>
  <si>
    <t>2019 год</t>
  </si>
  <si>
    <t xml:space="preserve">Расходы, не включенные в муниципальные программы </t>
  </si>
  <si>
    <t>Расходы, не включенные в муниципальные программы</t>
  </si>
  <si>
    <t>0800000000</t>
  </si>
  <si>
    <t>0500000000</t>
  </si>
  <si>
    <t>Молодежная политика</t>
  </si>
  <si>
    <t>Дополнительное образование детей</t>
  </si>
  <si>
    <t>Формирование земельных участков для бесплатного предоставления многодетным гражданам</t>
  </si>
  <si>
    <t>Развитие дополнительного образования в сфере культуры и искусства</t>
  </si>
  <si>
    <t>Организация и проведение творческих  мероприятий для детей и молодежи</t>
  </si>
  <si>
    <t>Социальная реклама</t>
  </si>
  <si>
    <t>Финансовое обеспечение деятельности муниципального центра тестирования ГТО</t>
  </si>
  <si>
    <t>Содержание улично-дорожной сети в городе Удомля</t>
  </si>
  <si>
    <t>9950000000</t>
  </si>
  <si>
    <t>Казенные учреждения, не включенные в муниципальные программы</t>
  </si>
  <si>
    <t>Дорожное хозяйство (дорожные фонды)</t>
  </si>
  <si>
    <t>240</t>
  </si>
  <si>
    <t>Иные закупки товаров, работ и услуг для обеспечения государственных (муниципальных) нужд</t>
  </si>
  <si>
    <t>Субсидии бюджетным учреждениям</t>
  </si>
  <si>
    <t>610</t>
  </si>
  <si>
    <t>Бюджетные инвестиции</t>
  </si>
  <si>
    <t>410</t>
  </si>
  <si>
    <t>Социальные выплаты гражданам, кроме публичных нормативных социальных выплат</t>
  </si>
  <si>
    <t>320</t>
  </si>
  <si>
    <t xml:space="preserve"> Наименование</t>
  </si>
  <si>
    <t xml:space="preserve"> Бюджетные инвестиции</t>
  </si>
  <si>
    <t>310</t>
  </si>
  <si>
    <t>Публичные нормативные социальные выплаты гражданам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</si>
  <si>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</si>
  <si>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Расходы на обеспечение деятельности казенного учреждения Централизованная бухгалтерия</t>
  </si>
  <si>
    <t>Финансовое обеспечение муниципального задания на оказание муниципальных услуг (выполнение работ) муниципальных бюджетных общеобразовательных учреждений</t>
  </si>
  <si>
    <t>0120100000</t>
  </si>
  <si>
    <t>Судебная система</t>
  </si>
  <si>
    <t xml:space="preserve"> Приложение 6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</si>
  <si>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товаров,работ,услуг</t>
  </si>
  <si>
    <t>код</t>
  </si>
  <si>
    <t>000 01 05 00 00 00 0000 000</t>
  </si>
  <si>
    <t>Изменение остатков средств на счетах по учету средств бюджета</t>
  </si>
  <si>
    <t>000 01 05 00 00 00 0000 500</t>
  </si>
  <si>
    <t>Увеличение остатков средств бюджетов</t>
  </si>
  <si>
    <t>000 01 05 00 00 00 0000 600</t>
  </si>
  <si>
    <t>Уменьшение остатков средств бюджетов</t>
  </si>
  <si>
    <t xml:space="preserve"> Итого источники финансирования дефицита бюджета </t>
  </si>
  <si>
    <t>Содержание светофорного регулирования</t>
  </si>
  <si>
    <t>Страхование газового хозяйства северной части города Удомля</t>
  </si>
  <si>
    <t>350</t>
  </si>
  <si>
    <t>Премии и гранты</t>
  </si>
  <si>
    <t>Муниципальные программы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</si>
  <si>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</si>
  <si>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Пенсии за выслугу лет муниципальным служащим</t>
  </si>
  <si>
    <t>Осуществление переданных полномочий Российской Федерации на государственную регистрацию актов гражданского состояния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</si>
  <si>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</si>
  <si>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Строительство объектов водоснабжения и водоотведения</t>
  </si>
  <si>
    <t>Организация бесплатного горячего питания обучающихся, получающих начальное общее образование в муниципальных образовательных учреждениях</t>
  </si>
  <si>
    <t>Защита населения и территории от чрезвычайных ситуаций природного и техногенного характера,  пожарная безопасность</t>
  </si>
  <si>
    <t>Обеспечение государственных гарантий реализации прав на получение бесплатного дошкольного образования  за счет средств областного бюджета</t>
  </si>
  <si>
    <t>Финансовое обеспечение муниципального задания на оказание муниципальных услуг (выполнение работ) муниципальных бюджетных образовательных учреждений дошкольного образования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</si>
  <si>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</si>
  <si>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Обеспечение государственных гарантий реализации прав на получение бесплатного начального общего, основного общего и среднего общего образования  за счет средств областного бюджета</t>
  </si>
  <si>
    <t xml:space="preserve"> Ежемесячное денежное вознаграждение за классное руководство педагогическим работникам муниципальных образовательных учреждений</t>
  </si>
  <si>
    <t>0120200000</t>
  </si>
  <si>
    <t>Финансовое обеспечение мероприятий капитального и (или) текущего ремонтов муниципальных  общеобразовательных учреждений</t>
  </si>
  <si>
    <t>0120300000</t>
  </si>
  <si>
    <t xml:space="preserve"> Финансовое обеспечение муниципального задания на оказание муниципальных услуг (выполнение работ) муниципальных бюджетных учреждений дополнительного образования</t>
  </si>
  <si>
    <t>Финансовое обеспечение участия в спортивных мероприятиях регионального,всероссийского, международного уровней</t>
  </si>
  <si>
    <t>Финансовое обеспечение муниципального мероприятия "День защиты детей"</t>
  </si>
  <si>
    <t>Финансовое обеспечение поощрения лучших педагогов,работающих в муниципальной сети профильных курсов</t>
  </si>
  <si>
    <t>Финансовое обеспечение участия педагогов и обучающихся в региональных и межрегиональных мероприятиях в рамках регионального проекта "Цифровая образовательная среда"</t>
  </si>
  <si>
    <t>Предоставление гранта в форме субсидии субъектам малого и среднего предпринимательства на создание и развитие крестьянского (фермерского) хозяйства</t>
  </si>
  <si>
    <t>Другие вопросы в области жилищно-коммунального хозяйства</t>
  </si>
  <si>
    <t>Разработка проектно-сметной документации</t>
  </si>
  <si>
    <t>Финансовое обеспечение мероприятий по поддержке  педагогогов- молодых специалистам</t>
  </si>
  <si>
    <t>9940026300</t>
  </si>
  <si>
    <t>9950022700</t>
  </si>
  <si>
    <t xml:space="preserve"> Расходы на обеспечение деятельности муниципального казенного учреждения "Управление административно-хозяйственного обеспечения"</t>
  </si>
  <si>
    <t>9950022800</t>
  </si>
  <si>
    <t>Финансовое обеспечение бесплатным питанием обучающихся с ограниченными возможностями здоровья в муниципальных общеобразовательных учреждениях</t>
  </si>
  <si>
    <t>Организация транспортного обслуживания населения на муниципальных маршрутах регулярных перевозок сверх минимальных социальных требований, установленных Правительством Тверской области</t>
  </si>
  <si>
    <t xml:space="preserve"> Приложение 4</t>
  </si>
  <si>
    <t xml:space="preserve"> Приложение 5</t>
  </si>
  <si>
    <t>Оснащение автобусов, осуществляющих подвоз  обучающихся и воспитанников муниципальных учреждений, необходимыми техническими средствами</t>
  </si>
  <si>
    <t>340</t>
  </si>
  <si>
    <t>Стипендии</t>
  </si>
  <si>
    <t>Разработка проектно - сметной документации и осуществление строительного контроля</t>
  </si>
  <si>
    <t>Подготовка проектов межевания земельных участков и проведение кадастровых работ</t>
  </si>
  <si>
    <t>Обеспечение деятельности советников директоров по воспитанию и взаимодействию с детскими общественными объединениями в общеобразовательных организациях</t>
  </si>
  <si>
    <t>2026 год</t>
  </si>
  <si>
    <t>Оплата услуг средствам массовой информации за размещение информации и объявлений о деятельности органов местного самоуправления в печатных изданиях</t>
  </si>
  <si>
    <t>Председатель Контрольно-счетной комиссии</t>
  </si>
  <si>
    <t>Поддержка обустройства мест массового отдыха населения (городских парков)</t>
  </si>
  <si>
    <t>Предоставление собственникам жилых помещений в аварийном жилищном фонде возмещения за жилое помещение</t>
  </si>
  <si>
    <t>Приобретение оборудования и техники для нужд муниципального бюджетного учреждения</t>
  </si>
  <si>
    <t xml:space="preserve">Финансовое обеспечение бесплатным питанием  детей участников специальной военной  операции,обучающихся  в муниципальных общеобразовательных учреждениях </t>
  </si>
  <si>
    <t>Финансовое обеспечение проведения муниципальных мероприятий с одаренными и высокомотивированными обучающимися, воспитанниками, организация их участия в региональных, всероссийских мероприятиях</t>
  </si>
  <si>
    <t>Финансовое обеспечение мероприятий капитального и (или) текущего ремонтов муниципальных  учреждений культуры</t>
  </si>
  <si>
    <t>2027 год</t>
  </si>
  <si>
    <t xml:space="preserve">"О  бюджете Удомельского муниципального округа </t>
  </si>
  <si>
    <t>Оснащение муниципальных образовательных организаций,реализующих программы дошкольного образования, уличными игровыми комплексами</t>
  </si>
  <si>
    <t>Финансовое обеспечение мероприятий капитального и (или) текущего ремонтов муниципальных  учреждений дополнительного образования в сфере культуры и искусства</t>
  </si>
  <si>
    <t>000 01 00 00 00 00 0000 000</t>
  </si>
  <si>
    <t xml:space="preserve">Источники вутреннего финансирования дефицита бюджетов </t>
  </si>
  <si>
    <t>Муниципальная программа муниципального образования Удомельский муниципальный округ Тверской области «Развитие образования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</si>
  <si>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«Развитие культуры, спорта и молодежной политики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</si>
  <si>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«Управление имуществом и земельными ресурсами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</si>
  <si>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«Создание условий для экономического развития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</si>
  <si>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«Управление жилищным фондом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</si>
  <si>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«Комплекс мероприятий по организации коммунального и газового хозяйства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</si>
  <si>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«Развитие транспортного комплекса, дорожного хозяйства и повышение безопасности дорожного движения на территории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</si>
  <si>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«Профилактика правонарушений на территории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</si>
  <si>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«Обеспечение безопасности жизнедеятельности населения Удомельского муниципального округа Тверской области на 2026 - 2031 годы»</t>
  </si>
  <si>
    <t>Муниципальная программа муниципального образования Удомельский муниципальный округ Тверской области «Содержание и благоустройство территории Удомельского муниципального округа Тверской области на 2026 – 2031 годы»</t>
  </si>
  <si>
    <t>Муниципальная программа муниципального образования Удомельский муниципальный округ Тверской области «Социальная политика, поддержка и защита населения Удомельского муниципального округа Тверской области на 2026 - 2031 годы»</t>
  </si>
  <si>
    <t>Муниципальная программа муниципального образования Удомельский муниципальный округ Тверской области «Формирование комфортной городской среды на территории Удомельского муниципального округа Тверской области на 2026 - 2031 годы»</t>
  </si>
  <si>
    <t>Муниципальная программа муниципального образования Удомельский муниципальный округ Тверской области «Поддержка муниципальных инициатив и участия населения в осуществлении местного самоуправления на территории Удомельского муниципального округа Тверской области на 2026 – 2031 годы»</t>
  </si>
  <si>
    <t>1400000000</t>
  </si>
  <si>
    <t>Муниципальная программа муниципального образования Удомельский муниципальный округ Тверской области «Противодействие распространению идеологии терроризма и экстремизма на территории Удомельского муниципального округа Тверской области на 2026 – 2031 годы»</t>
  </si>
  <si>
    <t>2028 год</t>
  </si>
  <si>
    <t>Распределение бюджетных ассигнований  местного бюджета по разделам и подразделам классификации расходов бюджета на 2026 год  и на плановый период 2027 и 2028 годов</t>
  </si>
  <si>
    <t>МП</t>
  </si>
  <si>
    <t>ГРБС</t>
  </si>
  <si>
    <t>929</t>
  </si>
  <si>
    <t>938</t>
  </si>
  <si>
    <t xml:space="preserve"> Управление культуры, спорта и молодежной политики Администрации Удомельского муниципального округа Тверской области</t>
  </si>
  <si>
    <t>Управление образования  Администрации Удомельского муниципального округа Тверской области</t>
  </si>
  <si>
    <t>Администрация Удомельского муниципального округа Тверской области</t>
  </si>
  <si>
    <t>937</t>
  </si>
  <si>
    <t>Финансовое Управление Администрации Удомельского муниципального округа Тверской области</t>
  </si>
  <si>
    <t>99</t>
  </si>
  <si>
    <t>902</t>
  </si>
  <si>
    <t xml:space="preserve"> Дума Удомельского муниципального округа Тверской области</t>
  </si>
  <si>
    <t>936</t>
  </si>
  <si>
    <t>Контрольно-счетная комиссия Удомельского муниципального округа  Тверской области</t>
  </si>
  <si>
    <t>939</t>
  </si>
  <si>
    <t>01201S1350</t>
  </si>
  <si>
    <t>Комплекс процессных мероприятий "Развитие системы дошкольного образования"</t>
  </si>
  <si>
    <t>0150110740</t>
  </si>
  <si>
    <t>0150100000</t>
  </si>
  <si>
    <t>0150121100</t>
  </si>
  <si>
    <t xml:space="preserve">    Финансовое обеспечение мероприятий капитального и (или) текущего ремонтов муниципальных дошкольных образовательных учреждений</t>
  </si>
  <si>
    <t>0150121220</t>
  </si>
  <si>
    <t>0150121210</t>
  </si>
  <si>
    <t>Обеспечение комплексной безопасности зданий и помещений дошкольных образовательных учреждений</t>
  </si>
  <si>
    <t>Комплекс процессных мероприятий "Развитие системы начального общего, основного общего и среднего общего образования"</t>
  </si>
  <si>
    <t>0150200000</t>
  </si>
  <si>
    <t>0150210750</t>
  </si>
  <si>
    <t>0150221100</t>
  </si>
  <si>
    <t>0150221210</t>
  </si>
  <si>
    <t>0150221220</t>
  </si>
  <si>
    <t xml:space="preserve"> Обеспечение комплексной безопасности зданий и помещений общеобразовательных учреждений</t>
  </si>
  <si>
    <t>Муниципальный проект в рамках регионального проекта "Содействие развитию дошкольного и общего образования"</t>
  </si>
  <si>
    <t xml:space="preserve">   Организация транспортного обслуживания населения в границах муниципального образования в части обеспечения подвоза учащихся, проживающих в сельской местности, к месту обучения и обратно</t>
  </si>
  <si>
    <t>01201S0250</t>
  </si>
  <si>
    <t>0150221260</t>
  </si>
  <si>
    <t>01201L3041</t>
  </si>
  <si>
    <t>0150221600</t>
  </si>
  <si>
    <t>0150221650</t>
  </si>
  <si>
    <t>Финансовое обеспечение реализации проекта в рамках Программы поддержки школьных инициатив</t>
  </si>
  <si>
    <t>011Ю600000</t>
  </si>
  <si>
    <t>011Ю653031</t>
  </si>
  <si>
    <t>Обеспечение  выплат ежемесячного вознаграждения советникам директоров по воспитанию и взаимодействию с детскими общественными объединениями в общеобразовательных организациях</t>
  </si>
  <si>
    <t>011Ю650501</t>
  </si>
  <si>
    <t>011Ю651790</t>
  </si>
  <si>
    <t>Муниципальный проект "Педагоги и наставники" в рамках национального проекта "Молодежь и дети"</t>
  </si>
  <si>
    <t>Муниципальный проект в рамках регионального проекта "Содействие развитию системы воспитания детей и молодежи , а также совершенствование условий для реализации дополнительных образовательных программ"</t>
  </si>
  <si>
    <t>Укрепление материально-технической базы муниципальных организаций дополнительного образования</t>
  </si>
  <si>
    <t>01202S1470</t>
  </si>
  <si>
    <t xml:space="preserve"> Финансовое обеспечение повышения заработной платы педагогическим работникам  муниципальных бюджетных учреждений дополнительного образования </t>
  </si>
  <si>
    <t>01202S0690</t>
  </si>
  <si>
    <t>Комплекс процессных мероприятий "Развитие системы дополнительного образования и воспитания детей"</t>
  </si>
  <si>
    <t>0150300000</t>
  </si>
  <si>
    <t>0150321100</t>
  </si>
  <si>
    <t>Обеспечение функционирования модели персонифицированного финансирования дополнительного образования</t>
  </si>
  <si>
    <t>0150321120</t>
  </si>
  <si>
    <t>0150321250</t>
  </si>
  <si>
    <t>0150321400</t>
  </si>
  <si>
    <t>0150321500</t>
  </si>
  <si>
    <t>0150400000</t>
  </si>
  <si>
    <t>0150421270</t>
  </si>
  <si>
    <t>Комплекс процессных мероприятий "Создание современной образовательной среды"</t>
  </si>
  <si>
    <t>0150421280</t>
  </si>
  <si>
    <t>Муниципальный проект  в рамках регионального проекта "Содействие развитию организаций отдыха детей и их оздоровления"</t>
  </si>
  <si>
    <t>Организация отдыха детей в каникулярное время</t>
  </si>
  <si>
    <t>01203S0240</t>
  </si>
  <si>
    <t xml:space="preserve">  Организация участия детей и подростков в социально-значимых региональных проектах</t>
  </si>
  <si>
    <t>01202S1080</t>
  </si>
  <si>
    <t xml:space="preserve">    Финансовое обеспечение мероприятий по формированию здорового образа жизни</t>
  </si>
  <si>
    <t>0150223005</t>
  </si>
  <si>
    <t>0150423010</t>
  </si>
  <si>
    <t>0150423015</t>
  </si>
  <si>
    <t>0150421300</t>
  </si>
  <si>
    <t>0150423020</t>
  </si>
  <si>
    <t xml:space="preserve"> Комплекс процессных мероприятий "Содержание ответственного исполнителя программы"</t>
  </si>
  <si>
    <t xml:space="preserve">    Расходы на руководство и управление (Управление образования Администрации Удомельского муниципального округа Тверской области)</t>
  </si>
  <si>
    <t>0150110500</t>
  </si>
  <si>
    <t>Муниципальный проект в рамках регионального проекта "Повышение уровня финансовой грамотности населения и формирование финансовой культуры, развитие инициативного бюджетирования на территории Тверской области"</t>
  </si>
  <si>
    <t>01204S8000</t>
  </si>
  <si>
    <t>Информирование населения по противодействию терроризма и экстремизма</t>
  </si>
  <si>
    <t>1450123290</t>
  </si>
  <si>
    <t>1450123300</t>
  </si>
  <si>
    <t>Изготовление и распространение печатной продукции, баннеров, стендов</t>
  </si>
  <si>
    <t>Комплекс процессных мепроприятий</t>
  </si>
  <si>
    <t>1450100000</t>
  </si>
  <si>
    <t>0850123260</t>
  </si>
  <si>
    <t>0850100000</t>
  </si>
  <si>
    <t>Комплекс процессных мероприятий</t>
  </si>
  <si>
    <t>0850123005</t>
  </si>
  <si>
    <t>Финансовое обеспечение мероприятий по формированию здорового образа жизни</t>
  </si>
  <si>
    <t>0350100000</t>
  </si>
  <si>
    <t>Комплекс процессных мероприятий "Имущественные отношения"</t>
  </si>
  <si>
    <t>0350123150</t>
  </si>
  <si>
    <t>0350123160</t>
  </si>
  <si>
    <t>Обеспечение учета муниципального имущества для поддержки полной и достоверной информации об объектах, находящихся в собственности муниципального образования  Удомельский муниципальный округ Тверской области</t>
  </si>
  <si>
    <t>0350123170</t>
  </si>
  <si>
    <t>Комплекс процессных мероприятий "Земельные отношения"</t>
  </si>
  <si>
    <t>0350200000</t>
  </si>
  <si>
    <t>03502L5990</t>
  </si>
  <si>
    <t>0350223190</t>
  </si>
  <si>
    <t>0350223210</t>
  </si>
  <si>
    <t>0350223220</t>
  </si>
  <si>
    <t>0150421660</t>
  </si>
  <si>
    <t>Реализация патриотического проекта "Лица Героев"</t>
  </si>
  <si>
    <t>1000000000</t>
  </si>
  <si>
    <t>Муниципальный проект  "Формирование комфортной городской среды" в рамках национального проекта "Инфраструктура для жизни"</t>
  </si>
  <si>
    <t>121И400000</t>
  </si>
  <si>
    <t xml:space="preserve"> Реализация мероприятий по благоустройству общественных территорий</t>
  </si>
  <si>
    <t>121И455550</t>
  </si>
  <si>
    <t>12201S1450</t>
  </si>
  <si>
    <t>Организация и проведение голосований по отбору общественных территорий, подлежащих благоустройству</t>
  </si>
  <si>
    <t>Муниципальный проект "Благоустройство мест массового отдыха населения (городских парков)" в рамках регионального проекта"Благоустройство мест массового отдыха населения (городских парков)"</t>
  </si>
  <si>
    <t>Комплекс процессных мероприятий "Создание условий  для  благоустройства территорий общего пользования"</t>
  </si>
  <si>
    <t>Содержание и благоустройство общественных территорий Удомельского муниципального округа</t>
  </si>
  <si>
    <t>Комплекс мероприятий по  благоустройству общественных территорий для детского отдыха</t>
  </si>
  <si>
    <t>Разработка проектно-сметной документации и осуществление строительного контроля</t>
  </si>
  <si>
    <t>Обеспечение безопасности нахождения на общественных территориях</t>
  </si>
  <si>
    <t>Наружное оформление территории Удомельского муниципального округа</t>
  </si>
  <si>
    <t>Организация вывоза ТКО с муниципальных кладбищ</t>
  </si>
  <si>
    <t>Содержание муниципальных кладбищ</t>
  </si>
  <si>
    <t>Ликвидация несанкционированных мест размещения твердых коммунальных отходов</t>
  </si>
  <si>
    <t>1050123900</t>
  </si>
  <si>
    <t>Организация и проведение субботников</t>
  </si>
  <si>
    <t xml:space="preserve">Обеспечение уличного освещения </t>
  </si>
  <si>
    <t>1050100000</t>
  </si>
  <si>
    <t>Муниципальный проект в рамках регионального проекта "Строительство, модернизация, капитальный ремонт и ремонт объектов теплоэнергетических комплексов"</t>
  </si>
  <si>
    <t>0620100000</t>
  </si>
  <si>
    <t>Комплекс процессных мероприятий "Организация коммунального и газового хозяйства"</t>
  </si>
  <si>
    <t>0650100000</t>
  </si>
  <si>
    <t xml:space="preserve">  Разработка проектно-сметной документации и осуществление строительного контроля</t>
  </si>
  <si>
    <t>0650123600</t>
  </si>
  <si>
    <t xml:space="preserve"> Обслуживание газового хозяйства северной части города Удомля</t>
  </si>
  <si>
    <t>0650123610</t>
  </si>
  <si>
    <t>0650123620</t>
  </si>
  <si>
    <t>Разработка и актуализация схем теплоснабжения, водоснабжения, программы комплексного развития Удомельского муниципального округа</t>
  </si>
  <si>
    <t>0650123630</t>
  </si>
  <si>
    <t>Развитие , модернизация и капитальный ремонт объектов коммунальной инфраструктуры</t>
  </si>
  <si>
    <t>0650123640</t>
  </si>
  <si>
    <t>0650123650</t>
  </si>
  <si>
    <t>0650123660</t>
  </si>
  <si>
    <t>Оценка рыночной стоимости объектов недвижимости и рыночной стоимости арендной платы за объекты муниципального имущества</t>
  </si>
  <si>
    <t>Финансовое обеспечение мероприятий по укреплению материально-технической базы муниципальных общеобразовательных организаций</t>
  </si>
  <si>
    <t>Финансовое обеспечение мероприятий по укреплению материально-технической базы муниципальных дошкольных образовательных организаций</t>
  </si>
  <si>
    <t>Проведение инвентаризации муниципального имущества Удомельского муниципального округа</t>
  </si>
  <si>
    <t xml:space="preserve">Содержание объектов нежилого фонда казны Удомельского муниципального округа </t>
  </si>
  <si>
    <t>Организация проведения комплексных кадастровых работ местного значения на территории Удомельского муниципального округа</t>
  </si>
  <si>
    <t>Организация работ по образованию земельных участков под объектами недвижимости, в том числе по объектам жилищно-коммунального хозяйства</t>
  </si>
  <si>
    <t>Осуществление подготовки и содержания в готовности необходимых сил и средств для защиты населения и территории</t>
  </si>
  <si>
    <t>0950100000</t>
  </si>
  <si>
    <t>Оснащение и модернизация сил и средств для оповещения населения об угрозе возникновения или возникновении чрезвычайных ситуаций</t>
  </si>
  <si>
    <t>Обеспечение первичных мер пожарной безопасности на территории Удомельского муниципального округа Тверской области</t>
  </si>
  <si>
    <t xml:space="preserve"> Информирование населения через СМИ по безопасному нахождению на водных объектах</t>
  </si>
  <si>
    <t>Расходы на обеспечение деятельности казенного учреждения "Управление по делам гражданской обороны и чрезвычайным ситуациям УМО"</t>
  </si>
  <si>
    <t>9950022600</t>
  </si>
  <si>
    <t>Национальная оборона</t>
  </si>
  <si>
    <t>Мобилизационная и войсковая подготовка</t>
  </si>
  <si>
    <t>Осуществление первичного воинского учета</t>
  </si>
  <si>
    <t>Предоставление компенсаций членам добровольной народной дружины Удомельского муниципального округа, участвовавшим в охране общественного порядка</t>
  </si>
  <si>
    <t>Привлечение субъектов малого и среднего предпринимательства и самозанятых к участию в выставках, ярмарках, конкурсах, мероприятиях, проводимых на территории Удомельского муниципального округа Тверской области</t>
  </si>
  <si>
    <t>0450123310</t>
  </si>
  <si>
    <t>Создание и развитие Школы малого  и среднего предпринимательства</t>
  </si>
  <si>
    <t>0450123320</t>
  </si>
  <si>
    <t>Проведение мероприятий, приуроченных к Дню предпринимателя в Удомельском муниципальном округе Тверской области</t>
  </si>
  <si>
    <t>0450123330</t>
  </si>
  <si>
    <t>Предоставление гранта в форме субсидии индивидуальным предпринимателям и самозанятым на создание или развитие собственного дела</t>
  </si>
  <si>
    <t>Предоставление субсидии на поддержку газеты "Удомельская газета</t>
  </si>
  <si>
    <t>04501S0320</t>
  </si>
  <si>
    <t>04501S0490</t>
  </si>
  <si>
    <t>Предоставление субсидий на развитие материально-технической базы редакций газеты "Удомельская газета</t>
  </si>
  <si>
    <t>Оплата услуг средствам массовой информации за размещение  информации и объявлений о деятельности органов местного самоуправления в телевизионном эфире</t>
  </si>
  <si>
    <t>0450123350</t>
  </si>
  <si>
    <t>Оплата услуг средствам массовой информации за размещение информации и объявлений о деятельности органов местного самоуправления в радиоэфире</t>
  </si>
  <si>
    <t>Предоставление субсидии Обществу с ограниченной ответственностью "Новые традиции" из бюджета Удомельского муниципального округа на возмещение недополученных доходов в связи с оказанием услуг бани для отдельных категорий граждан в городе Удомля</t>
  </si>
  <si>
    <t>Предоставление субсидии Обществу с ограниченной ответственностью "Новые традиции" из бюджета Удомельского муниципального округа на возмещение недополученных доходов в связи с оказанием услуг туалета общественного пользования</t>
  </si>
  <si>
    <t>Предоставление субсидий муниципальному унитарному предприятию "Удомельские коммунальные системы" из бюджета Удомельского муниципального  округа на возмещение затрат в связи с содержанием объектов канализационных очистных сооружений 3 очереди</t>
  </si>
  <si>
    <t>Предоставление субсидий муниципальному унитарному предприятию "Удомельские коммунальные системы" из бюджета Удомельского муниципального округа на возмещение затрат в связи с оказанием услуги по подвозу питьевой воды населению города Удомля, не обеспеченному центральным водоснабжением</t>
  </si>
  <si>
    <t>Предоставление субсидий муниципальному унитарному предприятию "Удомельские коммунальные системы" из бюджета Удомельского муниципального округа на финансовое обеспечение части затрат по приобретению специализированной техники в лизинг</t>
  </si>
  <si>
    <t>Предоставление субсидий муниципальному унитарному предприятию "Развитие территорий" из бюджета Удомельского муниципального округа на финансовое обеспечение части затрат на электроэнергию и выполнение работ операторов насосных станций в сфере водоснабжения</t>
  </si>
  <si>
    <t>Предоставление субсидий муниципальному унитарному предприятию "Развитие территорий" из бюджета Удомельского муниципального округа на финансовое обеспечение части затрат в связи с реализацией мероприятий, направленных на уменьшение аварийных ситуаций, связанных с оказанием услуг холодного водоснабжения и теплоснажения в сельских населенных пунктах</t>
  </si>
  <si>
    <t xml:space="preserve">Предоставление субсидий муниципальному унитарному предприятию "Удомельские коммунальные системы" из бюджета Удомельского муниципального округа на финансовое обеспечение части затрат в связи с реализацией мероприятий, направленных на уменьшение аварийных ситуаций, связанных с оказанием услуг водоснабжения и водоотведения в г. Удомля </t>
  </si>
  <si>
    <t>Обеспечение Администрации Удомельского муниципального округа официальной статистической информацией</t>
  </si>
  <si>
    <t>0450123370</t>
  </si>
  <si>
    <t>0150321210</t>
  </si>
  <si>
    <t>Финансовое обеспечение мероприятий капитального и (или) текущего ремонтов муниципальных учреждений дополнительного образования</t>
  </si>
  <si>
    <t>Разработка плана действий по ликвидации последствий аварийный ситуаций в системах теплоснабжения Удомельского муниципального округа</t>
  </si>
  <si>
    <t>Муниципальный проект "Поддержка инициативного бюджетирования" в рамках регионального проекта "Повышение уровня финансовой грамотности населения и формирование финансовой культуры, развитие инициативного бюджетирования на территории Тверской области"</t>
  </si>
  <si>
    <t>Комплекс процессных мероприятий "Создание условий для поддержки общественных и гражданских инициатив"</t>
  </si>
  <si>
    <t>Благоустройство дворовой территории по адресу: Тверская область, Удомельский муниципальный округ, г. Удомля, ул. Космонавтов, д. 9</t>
  </si>
  <si>
    <t>Благоустройство дворовой территории по адресу: Тверская область, Удомельский муниципальный округ, г. Удомля, ул. Левитана, д. 7</t>
  </si>
  <si>
    <t>Благоустройство дворовой территории по адресу:  Тверская область, Удомельский муниципальный округ, г. Удомля, ул. Венецианова, д. 5а</t>
  </si>
  <si>
    <t>0550100000</t>
  </si>
  <si>
    <t>Содержание муниципальных жилых помещений до момента их предоставления в пользование гражданам</t>
  </si>
  <si>
    <t>0550123460</t>
  </si>
  <si>
    <t xml:space="preserve"> Проведение текущего ремонта жилых помещений муниципального жилищного фонда</t>
  </si>
  <si>
    <t>0550123480</t>
  </si>
  <si>
    <t>Обследование многоквартирных домов, домов блокированной застройки, в которых находится муниципальная собственность Удомельского муниципального округа, для признания таких домов аварийными, подлежащими сносу или реконструкции, а также муниципальных жилых помещений для признания пригодными (непригодными) для проживания граждан</t>
  </si>
  <si>
    <t xml:space="preserve"> Определение стоимости возмещения за жилое помещение в аварийном жилищном фонде муниципального образования Удомельский муниципальный округ</t>
  </si>
  <si>
    <t>0550123600</t>
  </si>
  <si>
    <t>Приобретение жилых помещений для предоставления гражданам, по договорам социального найма, проживающим в аварийном жилищном фонде</t>
  </si>
  <si>
    <t xml:space="preserve"> Снос аварийных многоквартирных домов и домов блокированной застройки</t>
  </si>
  <si>
    <t>0550123530</t>
  </si>
  <si>
    <t>Уплата взносов на проведение капитального ремонта общего имущества в многоквартирных домах, в части муниципального жилищного фонда Удомельского муниципального округа</t>
  </si>
  <si>
    <t>Проведение работ по приспособлению жилых помещений инвалидов и (или) общего имуществав многоквартирных домах, в которых проживают инвалиды, приспособленных с учетом потребностей инвалидов и обеспеченных доступностью для инвалидов</t>
  </si>
  <si>
    <t>1150200000</t>
  </si>
  <si>
    <t>Муниципальный проект в рамках государственной программы Тверской области "Социальная поддержка и защита населения Тверской области"</t>
  </si>
  <si>
    <t>Приобретение жилых помещений для малоимущих многодетных семей</t>
  </si>
  <si>
    <t>1120100000</t>
  </si>
  <si>
    <t>11201S0290</t>
  </si>
  <si>
    <t>Предоставление денежных выплат почетным гражданам Удомельского муниципального округа Тверской области</t>
  </si>
  <si>
    <t xml:space="preserve">Муниципальный проект в рамках государственной программы Тверской области "Молодежь Верхневолжья" </t>
  </si>
  <si>
    <t>Приобретение жилых помещений для детей-сирот, детей, оставшихся без попечения родителей, за счет средств областного бюджета</t>
  </si>
  <si>
    <t>11501Д0820</t>
  </si>
  <si>
    <t>1150100000</t>
  </si>
  <si>
    <t>11202L4970</t>
  </si>
  <si>
    <t>1120200000</t>
  </si>
  <si>
    <t xml:space="preserve">  Предоставление субсидий общественным организациям ветеранов войны, труда, вооруженных сил и правоохранительных органов, инвалидов и т.п.</t>
  </si>
  <si>
    <t>330</t>
  </si>
  <si>
    <t>Публичные нормативные выплаты гражданам несоциального характера</t>
  </si>
  <si>
    <t xml:space="preserve"> Финансовое обеспечение муниципального задания на оказание муниципальных услуг (выполнение работ) муниципального бюджетного учреждения</t>
  </si>
  <si>
    <t>1050123800</t>
  </si>
  <si>
    <t>1050123870</t>
  </si>
  <si>
    <t>1050123880</t>
  </si>
  <si>
    <t>1050123890</t>
  </si>
  <si>
    <t>Ликвидация борщевика Сосновского на муципальных землях Удомельского муниципального округа</t>
  </si>
  <si>
    <t>Муниципальный проект в рамках регионального проекта «Повышение доступности и качества услуг культуры, формирование единого культурного пространства»</t>
  </si>
  <si>
    <t xml:space="preserve">Повышение заработной платы работникам муниципальных учреждений культуры </t>
  </si>
  <si>
    <t>02201S0680</t>
  </si>
  <si>
    <t xml:space="preserve">Муниципальный проект в рамках регионального проекта "Развитие искусства и творчества, сохранение культурного наследия" </t>
  </si>
  <si>
    <t>02203L4670</t>
  </si>
  <si>
    <t>02203L5199</t>
  </si>
  <si>
    <t>Реализация мероприятий по модернизации библиотек в части комплектования книжных фондов</t>
  </si>
  <si>
    <t>0250100000</t>
  </si>
  <si>
    <t>Комплекс процессных мероприятий, направленных на развитие культуры</t>
  </si>
  <si>
    <t>Сохранение и развитие библиотечного дела в Удомельском муниципальном округе</t>
  </si>
  <si>
    <t>Организация и проведение культурно-досуговых мероприятий и развитие народного творчества в Удомельском муниципальном округе</t>
  </si>
  <si>
    <t>0250121210</t>
  </si>
  <si>
    <t>Укрепление материально-технической базы учреждений  культуры</t>
  </si>
  <si>
    <t>0250121240</t>
  </si>
  <si>
    <t>Популяризация и пропаганда деятельности по сохранению объектов культурного наследия Удомельского муниицпального округа</t>
  </si>
  <si>
    <t>0250123050</t>
  </si>
  <si>
    <t xml:space="preserve">Комплекс процессных мероприятий, направленных на развитие культуры </t>
  </si>
  <si>
    <t>Повышение заработной платы  работникам  учреждений дополнительного образования в сфере культуры и искусства</t>
  </si>
  <si>
    <t>02202S0690</t>
  </si>
  <si>
    <t>0220200000</t>
  </si>
  <si>
    <t>Комплекс процессных мероприятий, направленных на развитие художественно-эстетического воспитания</t>
  </si>
  <si>
    <t>0250221210</t>
  </si>
  <si>
    <t>Комплекс процессных мероприятий, направленных на развитие спорта</t>
  </si>
  <si>
    <t>Проведение официальных муниципальных физкультурно-оздоровительных и спортивных мероприятий для всех возрастных групп и категорий населения муниципального образования Удомельский муниципальный округ</t>
  </si>
  <si>
    <t>0250300000</t>
  </si>
  <si>
    <t>0250323060</t>
  </si>
  <si>
    <t>0250323070</t>
  </si>
  <si>
    <t>Комплекс процессных мероприятий, направленных на развитие молодежной политики</t>
  </si>
  <si>
    <t>0250400000</t>
  </si>
  <si>
    <t>0250423080</t>
  </si>
  <si>
    <t>Развитие деятельности муниципального бюджетного учреждения Городской молодежный центр «Звездный"</t>
  </si>
  <si>
    <t>Финансовое обеспечение мероприятий капитального ремонта и (или) текущего ремонтов муниципальных учреждений в сфере молодежной политики</t>
  </si>
  <si>
    <t>Обеспечение комплектной безопасности зданий и помещений муниципальных учреждений в сфере молодежной политики</t>
  </si>
  <si>
    <t>Комплекс процессных мероприятий "Содержание ответственного исполнителя программы"</t>
  </si>
  <si>
    <t>Расходы на руководство и управление (Управление культуры, спорта и молодежной политики Администрации Удомельского муниципального округа Тверской области)</t>
  </si>
  <si>
    <t>0700000000</t>
  </si>
  <si>
    <t>Муниципальный проект "Капитальный ремонт и ремонт улично - дорожной сети Удомельского муниципального округа Тверской области", не входящий в состав национального проекта, реализуемый в рамках структурного элемента государственной программы Тверской области</t>
  </si>
  <si>
    <t>0720100000</t>
  </si>
  <si>
    <t>Капитальный ремонт и ремонт улично - дорожной сети Удомельского муниципального округа Тверской области</t>
  </si>
  <si>
    <t>07201SД014</t>
  </si>
  <si>
    <t>Капитальный ремонт и ремонт дворовых территорий многоквартирных домов, проездов к дворовым территориям многоквартирных домов</t>
  </si>
  <si>
    <t>07201SД201</t>
  </si>
  <si>
    <t>Комплекс процессных мероприятий в сфере осуществления дорожной деятельности</t>
  </si>
  <si>
    <t>0750100000</t>
  </si>
  <si>
    <t>Выполнение работ по содержанию автомобильных дорог общего пользования местного значения и сооружений на них, нацеленное на обеспечение их проезжаемости и безопасности на территории сельских населенных пунктов</t>
  </si>
  <si>
    <t>075019Д101</t>
  </si>
  <si>
    <t>Содержание автомобильных дорог общего пользования регионального и межмуниципального значения  Тверской области 3 класса на территории Удомельского муниципального округа</t>
  </si>
  <si>
    <t>075019Д015</t>
  </si>
  <si>
    <t>075019Д102</t>
  </si>
  <si>
    <t xml:space="preserve"> Выполнение работ по разработке проектно-сметной документации на реконструкцию и ремонт автомобильных дорог, дворовых территорий многоквартирных домов, проездов к дворовым территориям, в т.ч. парковок и проведение лабораторных исследований</t>
  </si>
  <si>
    <t>075019Д103</t>
  </si>
  <si>
    <t>Муниципальный проект "Эффективное функционирование транспортной системы Удомельского муниципального округа Тверской области, доступность безопасных и качественных транспортных услуг", не входящий в состав национального проекта, реализуемый в рамках структурного элемента государственной программы Тверской области</t>
  </si>
  <si>
    <t>0720200000</t>
  </si>
  <si>
    <t>Организация транспортного обслуживания населения на муниципальных маршрутах регулярных перевозок по регулируемым тарифам на территории Удомельского муниципального округа</t>
  </si>
  <si>
    <t>07202S0300</t>
  </si>
  <si>
    <t>Комплекс процессных мероприятий, направленных на обеспечение регулярных перевозок пассажиров и багажа автомобильным транспортом на территории Удомельского муниципального округа</t>
  </si>
  <si>
    <t>Приобретение свидетельств, карт маршрутов на транспортные средства по регулируемым и нерегулируемым маршрутам перевозок на территории Удомельского муниципального округа Тверской области</t>
  </si>
  <si>
    <t>Муниципальный проект "Безопасность дорожного движения на территории Удомельского муниципального округа Тверской области", не входящий в состав национального проекта, реализуемый в рамках структурного элемента государственной программы Тверской области</t>
  </si>
  <si>
    <t>07203SД017</t>
  </si>
  <si>
    <t>072030000</t>
  </si>
  <si>
    <t xml:space="preserve"> Обеспечение безопасности дорожного движения на автомобильных дорогах общего пользования местного значения</t>
  </si>
  <si>
    <t>Комплекс процессных мероприятий в сфере осуществления  деятельности по обеспечению безопасности дорожного движения</t>
  </si>
  <si>
    <t>075030000</t>
  </si>
  <si>
    <t>075039Д131</t>
  </si>
  <si>
    <t>Выполнение работ по разработке проектов организации дорожного движения на автомобильных дорогах общего пользования местного значения</t>
  </si>
  <si>
    <t>075039Д132</t>
  </si>
  <si>
    <t>Выполнение работ по разработке технических паспортов на автомобильные дороги общего пользования местного значения</t>
  </si>
  <si>
    <t>075039Д133</t>
  </si>
  <si>
    <t>075039Д134</t>
  </si>
  <si>
    <t>Источники финансирования дефицита местного бюджета на 2026 год  и на плановый период 2027 и 2028 годов</t>
  </si>
  <si>
    <t xml:space="preserve"> Распределение бюджетных ассигнований местного бюджета  по разделам, подразделам, целевым статьям (муниципальным программам и непрограммным направлениям деятельности), группам видов расходов классификации  расходов бюджетов на 2026 год и на плановый период 2027 и 2028 годов</t>
  </si>
  <si>
    <t xml:space="preserve">Объем бюджетных ассигнований на финансовое обеспечение реализации муниципальных программ Удомельского муниципального округа Тверской области и непрограммных направлений деятельности в разрезе главных распорядителей бюджетных средств на 2026 год и на плановый период 2027 и 2028 годов 
</t>
  </si>
  <si>
    <t>Центральный аппарат  Думы Удомельского муниципального округа</t>
  </si>
  <si>
    <t>Контрольно-счетная комиссия Удомельского муниципального округа</t>
  </si>
  <si>
    <t>Нанесение осевой горизонтальной разметки  на территории  Удомельского муниципального округа</t>
  </si>
  <si>
    <t>Финансовое обеспечение компенсации расходов на оплату жилых помещений, отопления и освещения педагогическим работникам образовательных учреждений, проживающим и работающим в сельских населенных пунктах Удомельского муниципального округа</t>
  </si>
  <si>
    <t xml:space="preserve">Предоставление молодым семьям Удомельского муниципального округа социальных выплат на приобретение (строительство) жилья </t>
  </si>
  <si>
    <t>Нанесение осевой горизонтальной разметки  на территории  Удомельского гмуниципального округа</t>
  </si>
  <si>
    <t xml:space="preserve"> Приложение 3</t>
  </si>
  <si>
    <t>03501S0440</t>
  </si>
  <si>
    <t>03501S1040</t>
  </si>
  <si>
    <t>0120400000</t>
  </si>
  <si>
    <t>0159900000</t>
  </si>
  <si>
    <t>0450127210</t>
  </si>
  <si>
    <t>0450127220</t>
  </si>
  <si>
    <t>000 01 05 02 01 14 0000 510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</si>
  <si>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</si>
  <si>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</si>
  <si>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>000 01 05 02 01 14 0000 610</t>
  </si>
  <si>
    <t xml:space="preserve">Приобретение специализированной техники трактор МТЗ 82.1-23/12 (или эквивалента)с навесным оборудованием (отвал универсальный гидроповоротный; щетка усиленная МТЗ ЩО-822-МКУ-1,4Т-03.2; разбрасыватель песка А-415; машина древесно-рубильная МДР-0,8) </t>
  </si>
  <si>
    <t>Предоставление субсидии на поддержку газеты "Удомельская газета"</t>
  </si>
  <si>
    <t xml:space="preserve"> Финансовое обеспечение мероприятий по формированию здорового образа жизни</t>
  </si>
  <si>
    <t>01204S8007</t>
  </si>
  <si>
    <t>Реализация проекта "Верны традициям. долгу и чести!" (многофункциональный просветительский центр)</t>
  </si>
  <si>
    <t>Реализация проекта "Макаров FM" (школьное радио)</t>
  </si>
  <si>
    <t>01204S8008</t>
  </si>
  <si>
    <t>01204S8009</t>
  </si>
  <si>
    <t>Реализация проекта "Организация работы учебно-опытного участка "Установка теплицы"</t>
  </si>
  <si>
    <t>Комплекс процессных мероприятий "Оказание дополнительных мер социальной поддержки отдельным категориям граждан</t>
  </si>
  <si>
    <t>Комплекс процессных мероприятий "Оказание дополнительных мер социальной поддержки отдельным категориям граждан"</t>
  </si>
  <si>
    <t>Комплекс процессных мероприятий "Приобретение жилых помещений для детей-сирот, детей, оставшихся без попечения родителей"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</si>
  <si>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</si>
  <si>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</si>
  <si>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0120500000</t>
  </si>
  <si>
    <t>Муниципальный проект в рамках регионального проекта "Подготовка спортивного резерва для сборных команд Российской Федерации, развитие базовых видов спорта, развитие спорта высших достижений"</t>
  </si>
  <si>
    <t>Обеспечение уровня финансирования физкультурно-спортивных организаций и учреждений дополнительного образования, осуществляющих спортивную подготовку, в соответствии с требованиями федеральных стандартов спортивной подготовки</t>
  </si>
  <si>
    <t>01205S0480</t>
  </si>
  <si>
    <t>01504S0920</t>
  </si>
  <si>
    <t>Средства на реализацию мероприятий по обращениям, поступающим к депутатам Законодательного Собрания Тверской области</t>
  </si>
  <si>
    <t>Средства на реализацию мероприятий по обращениям, поступающим к депутатам Законодательного Собрания Тверской области (информационное сопровождение деятельности учреждений образования)</t>
  </si>
  <si>
    <t>02501S0920</t>
  </si>
  <si>
    <t>025020S920</t>
  </si>
  <si>
    <t>99500S0920</t>
  </si>
  <si>
    <t>Субсидии автономным учреждениям</t>
  </si>
  <si>
    <t>620</t>
  </si>
  <si>
    <t>0650123670</t>
  </si>
  <si>
    <t>Резервный запас твердого топлива для нужд Удомельского муниципального округа</t>
  </si>
  <si>
    <t>02201S1540</t>
  </si>
  <si>
    <t>0150221240</t>
  </si>
  <si>
    <t xml:space="preserve">Финансовое обеспечение мероприятий по укреплению материально-технической базы общеобразовательных учреждений </t>
  </si>
  <si>
    <t>01201А0250</t>
  </si>
  <si>
    <t xml:space="preserve">   Организация транспортного обслуживания населения в границах муниципального образования в части обеспечения подвоза учащихся, проживающих в сельской местности, к месту обучения и обратно за счет средств бюджета округа</t>
  </si>
  <si>
    <t>01202А1470</t>
  </si>
  <si>
    <t>Укрепление материально-технической базы муниципальных организаций дополнительного образования за счет средств бюджета округа</t>
  </si>
  <si>
    <t>Укрепление материально-технической базы муниципальных учреждений культуры</t>
  </si>
  <si>
    <t>Предоставление субсидии муниципальному унитарному предприятию "Развитие территорий" из бюджета Удомельского муниципального округа на погашение просроченной кредиторской задолженности перед ресурсоснабжающими организациями</t>
  </si>
  <si>
    <t>075019Д104</t>
  </si>
  <si>
    <t>075019Д105</t>
  </si>
  <si>
    <t xml:space="preserve">  Ремонт автомобильных дорог </t>
  </si>
  <si>
    <t>Тверской области на 2026 год</t>
  </si>
  <si>
    <t xml:space="preserve"> и на плановый период 2027 и 2028 годов"</t>
  </si>
  <si>
    <t>"О внесении изменений в решение Думы</t>
  </si>
  <si>
    <t xml:space="preserve">Удомельского муниципального округа  </t>
  </si>
  <si>
    <t xml:space="preserve">Тверской области на 2026 год </t>
  </si>
  <si>
    <t xml:space="preserve"> на плановый период 2027 и 2028 годов"</t>
  </si>
  <si>
    <t xml:space="preserve">к решению Думы Удомельского муниципального </t>
  </si>
  <si>
    <t>Тверской области  от 24.12.2025  №12</t>
  </si>
  <si>
    <t>оуруга Тверской области от   24.12.2025  № 12</t>
  </si>
  <si>
    <t>Ремонт подъездных путей к многоквартирным домам</t>
  </si>
  <si>
    <t>03502L5991</t>
  </si>
  <si>
    <t>03502L5992</t>
  </si>
  <si>
    <t>Подготовка проектов межевания земельных участков и проведение кадастровых работ (подготовка проектов межевания)</t>
  </si>
  <si>
    <t>Подготовка проектов межевания земельных участков и проведение кадастровых работ (проведение кадастровых работ)</t>
  </si>
  <si>
    <t>830</t>
  </si>
  <si>
    <t>Исполнение судебных актов</t>
  </si>
  <si>
    <t>360</t>
  </si>
  <si>
    <t>Иные выплаты населению</t>
  </si>
  <si>
    <t xml:space="preserve">Ремонт автомобильных дорог </t>
  </si>
  <si>
    <t>0350223230</t>
  </si>
  <si>
    <t>Подготовка проектов межевания земельных участков и проведение кадастровых работ на землях сельскохозяйственного назначения в целях создания условий для развития сельскогохозяйственного производства за счет бюджета округа,</t>
  </si>
  <si>
    <t>Муниципальный проект в рамках регионального проекта "Совершенствование правовых, социальных и организационных условий для развития системы гражданско-патриотического и духовно-нравственного воспитания молодежи, вовлечения молодежи в общественно-политическую жизнь общества, добровольческую деятельность"</t>
  </si>
  <si>
    <t>Реализация мероприятий по обеспечению сохранности воинских захоронений</t>
  </si>
  <si>
    <t xml:space="preserve"> 10201L2031</t>
  </si>
  <si>
    <t>1020100000</t>
  </si>
  <si>
    <t>9940026900</t>
  </si>
  <si>
    <t>9940021900</t>
  </si>
  <si>
    <t>Строительство объектов теплоснабжения</t>
  </si>
  <si>
    <t>0650123680</t>
  </si>
  <si>
    <t>12201А1450</t>
  </si>
  <si>
    <t>Поддержка обустройства мест массового отдыха населения (городских парков) за счет бюджета округа</t>
  </si>
  <si>
    <t>06201S070L</t>
  </si>
  <si>
    <t>Проведение капитального ремонта объектов теплоэнергетических комплексов муниципальных образований Тверской области (Реализация инфраструктурных проектов в сфере жилищно-коммунального хозяйства (включая проекты, направленные на замену лифтового оборудования в многоквартирных домах) за счет средств, направляемых на цели, установленные условиями списания задолженности субъектов Российской Федерации перед Российской Федерацией по бюджетным кредитам)</t>
  </si>
  <si>
    <t xml:space="preserve"> Расходы на реализацию предложений по обращениям, поступающим к депутатам  Думы Удомельского муниципального округа бюджетных учреждений</t>
  </si>
  <si>
    <t xml:space="preserve"> Расходы на реализацию предложений по обращениям, поступающим к депутатам  Думы Удомельского муниципального округа </t>
  </si>
  <si>
    <t>Подготовка проектов межевания земельных участков и проведение кадастровых работ на землях сельскохозяйственного назначения в целях создания условий для развития сельскогохозяйственного производства за счет бюджета округа</t>
  </si>
  <si>
    <t>Предоставление субсидии муниципальному унитарному предприятию "Развитие территорий" из бюджета Удомельского муниципального округа  в целях реализации мер по предупреждению банкротства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</si>
  <si>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</si>
  <si>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0150121240</t>
  </si>
  <si>
    <t>Укрепление материально-технической базы муниципальных дошкольных образовательных учреждений</t>
  </si>
  <si>
    <t xml:space="preserve"> Приложение 8</t>
  </si>
  <si>
    <t>к решению Удомельской городской</t>
  </si>
  <si>
    <t xml:space="preserve">Думы от                      № </t>
  </si>
  <si>
    <t>на 2025 год и на плановый период 2026 и 2027 годов"</t>
  </si>
  <si>
    <t xml:space="preserve"> Приложение 9</t>
  </si>
  <si>
    <t xml:space="preserve">ПЕРЕЧЕНЬ
мероприятий по обращениям, поступающим к депутатам
 Думы Удомельского муниципального округа, на 2026 год </t>
  </si>
  <si>
    <t>N п/п</t>
  </si>
  <si>
    <t xml:space="preserve"> Наименование мероприятий</t>
  </si>
  <si>
    <t>Главный распорядитель, распорядитель бюджетных средств</t>
  </si>
  <si>
    <t>Объем финансирования, тыс.руб.</t>
  </si>
  <si>
    <t>РП классификации расходов бюджета</t>
  </si>
  <si>
    <t>ФИО депутата</t>
  </si>
  <si>
    <t>1</t>
  </si>
  <si>
    <t>Организация выездных соревнований (футбольная секция, тренер Семенов А.А,)</t>
  </si>
  <si>
    <t>Управление образования  Администрации УМО, МБУ ДО ДДТ</t>
  </si>
  <si>
    <t>07 03</t>
  </si>
  <si>
    <t>Байков В.Г.</t>
  </si>
  <si>
    <t>Приобретение инвентаря (футбольная секция, тренер Семенов А.А,)</t>
  </si>
  <si>
    <t>2</t>
  </si>
  <si>
    <t>Приобретение оргтехники</t>
  </si>
  <si>
    <t>Управление образования  Администрации УМО,  Рядская ООШ</t>
  </si>
  <si>
    <t>07 02</t>
  </si>
  <si>
    <t>Бреус Н.Н.</t>
  </si>
  <si>
    <t>3</t>
  </si>
  <si>
    <t>Управление образования  Администрации УМО, МБОУ УСОШ5</t>
  </si>
  <si>
    <t>Гоцева А.А.</t>
  </si>
  <si>
    <t>4</t>
  </si>
  <si>
    <t>Проведение косметического ремонта ДК Лайково-Попово</t>
  </si>
  <si>
    <t xml:space="preserve"> Управление культуры, спорта и молодежной политики Администрации УМО, МБУК "Удомельский центр культуры и досуга"</t>
  </si>
  <si>
    <t>08 01</t>
  </si>
  <si>
    <t>Данилкин А.Ю.</t>
  </si>
  <si>
    <t>5</t>
  </si>
  <si>
    <t>Проведение субботников на территории Удомельского муниципального округа</t>
  </si>
  <si>
    <t>Администрация Удомельского муниципального округа</t>
  </si>
  <si>
    <t>05 03</t>
  </si>
  <si>
    <t>Денисов В.А.</t>
  </si>
  <si>
    <t>6</t>
  </si>
  <si>
    <t>Приобретение спортивного инвентаря и оборудования</t>
  </si>
  <si>
    <t>Управление образования  Администрации УМО, МБУ ДО "Удомельская спортивная школа"</t>
  </si>
  <si>
    <t>Захватов В.Е.</t>
  </si>
  <si>
    <t>7</t>
  </si>
  <si>
    <t>Оборудование детской площадки</t>
  </si>
  <si>
    <t>Управление образования  Администрации УМО, МДОУ детский сад "Буратино" (северная часть)</t>
  </si>
  <si>
    <t>07 01</t>
  </si>
  <si>
    <t>Ильягуева Т.Е.</t>
  </si>
  <si>
    <t>8</t>
  </si>
  <si>
    <t>Приобретение производственного  холодильного шкафа,стиральной машины и утюга</t>
  </si>
  <si>
    <t>Управление образования  Администрации УМО, МДОУ детский сад "Улыбка"</t>
  </si>
  <si>
    <t>Каленский А.В.</t>
  </si>
  <si>
    <t>9</t>
  </si>
  <si>
    <t>Обустройство пешеходной дорожки центрального входа на территорию дошкольных групп (закупка строительного материала)</t>
  </si>
  <si>
    <t>Управление образования  Администрации УМО, УГ3</t>
  </si>
  <si>
    <t>Кондакова Н.А.</t>
  </si>
  <si>
    <t>Покупка рециркуляторов, 5 шт</t>
  </si>
  <si>
    <t>Управление образования  Администрации УМО, МДОУ детский сад "Дюймовочка"</t>
  </si>
  <si>
    <t>ремонт ступеней уличных входов в здание (закупка цемента), покраска оборудования на прогулочных участках (закупка лако-красочного материала)</t>
  </si>
  <si>
    <t>Управление образования  Администрации УМО, МДОУ детский сад "Теремок"</t>
  </si>
  <si>
    <t>Приобретение оборудования на прогулочные площадки в дошкольных группах (песочницы с крышкой), проведение косметического ремонта к новому учебному году (закупка краски)</t>
  </si>
  <si>
    <t>Управление образования  Администрации УМО,  МБОУ УСОШ2</t>
  </si>
  <si>
    <t>Издание книги Л.Н.Константинова</t>
  </si>
  <si>
    <t xml:space="preserve"> Управление культуры, спорта и молодежной политики Администрации УМО, МКУК "Удомельская ЦБС"</t>
  </si>
  <si>
    <t>Приобретение формыи экипировки для отделения "Вольная борьба"</t>
  </si>
  <si>
    <t>Лебедев О.В.</t>
  </si>
  <si>
    <t>Разработка ПСД на ремонт кровли</t>
  </si>
  <si>
    <t>Масенькин А.А.</t>
  </si>
  <si>
    <t>Приобретение усилительного микшера на систему оповещения для ЧС</t>
  </si>
  <si>
    <t>Управление образования  Администрации УМО,  МБОУ УСОШ1</t>
  </si>
  <si>
    <t>Метелева Ю.В.</t>
  </si>
  <si>
    <t>Покупка проектора</t>
  </si>
  <si>
    <t>Управление образования  Администрации УМО,  МБОУ УНОШ "Садко"</t>
  </si>
  <si>
    <t>Косметический ремонт классов</t>
  </si>
  <si>
    <t>Закупка оборудования для оснащения кабинета гражданско-патриотического воспитания и кабинета ОБЗР</t>
  </si>
  <si>
    <t>Пажетных К.А.</t>
  </si>
  <si>
    <t>Приобретение книг</t>
  </si>
  <si>
    <t>Пунтус В.В.</t>
  </si>
  <si>
    <t>15</t>
  </si>
  <si>
    <t>Издание книги В.Г.Шавшина</t>
  </si>
  <si>
    <t>Серяков А.В.</t>
  </si>
  <si>
    <t>Скидан А.А.</t>
  </si>
  <si>
    <t>Сорокин А.А.</t>
  </si>
  <si>
    <t xml:space="preserve">Молдинский СДК,Закупка ткани для изготовления сценических костюмов и приобретение сценической обуви </t>
  </si>
  <si>
    <t>Стыдова А.А.</t>
  </si>
  <si>
    <t>Ансамбль "Заигрыш",покупка музыкальных инструментов</t>
  </si>
  <si>
    <t>Брусовский сельский филиал. Покупка швейной машинки с оверлокрм для работы клуба молодых семей "Умка", в т.ч. пошив для нужд СВО</t>
  </si>
  <si>
    <t>Управление культуры, спорта и молодежной политики Администрации УМО, МКУК "Удомельская ЦБС"</t>
  </si>
  <si>
    <t>Рядский сельский филиал. Покупка ноутбука</t>
  </si>
  <si>
    <t>Цицер А.А.</t>
  </si>
  <si>
    <t>20</t>
  </si>
  <si>
    <t>Проведение косметического ремонта (покупка краски для подготовки школы к новому учебному году)</t>
  </si>
  <si>
    <t>Управление образования  Администрации УМО,  МБОУ УСОШ4</t>
  </si>
  <si>
    <t>Шишкин Д.Д.</t>
  </si>
  <si>
    <t>Южакова С.Н.</t>
  </si>
  <si>
    <t>Итого:</t>
  </si>
  <si>
    <t xml:space="preserve"> Приложение 7</t>
  </si>
  <si>
    <t>Установка видеодомофона на входную калитку ограждения,косметический ремонт кабинета географии и лестничной клетки (левое крыло)</t>
  </si>
  <si>
    <t>Приобретение частотных преобразователей для управления глубинными насосами водонапорных станций на сельских территориях Мстинского территориального отдела</t>
  </si>
  <si>
    <t>05 02</t>
  </si>
  <si>
    <t xml:space="preserve">Ведомственная структура расходов  местного бюджета  по главным распорядителям бюджетных средств, разделам, подразделам, целевым статьям (муниципальным программам и непрограммным направлениям деятельности), группам  видов                  расходов классификации расходов бюджетов                                                                                                                         на  2026 год и  на плановый период 2027 и 2028 годов                                                  </t>
  </si>
  <si>
    <t>Предоставление субсидии Удомельской городской общественной организации Тверской областной общественной организации "Всероссийское общество инвалидов" для оказания услуг по организации массовых мероаприятий на территории Удомельского муниципального округа</t>
  </si>
  <si>
    <t>075039Д135</t>
  </si>
  <si>
    <t>Выполнение работ по обеспечению безопасности дорожного движения на территории Удомельского муниципального округа</t>
  </si>
  <si>
    <t>округа Тверской области от  20.08.2026   №52</t>
  </si>
  <si>
    <t>округа Тверской области от 20.08.2026    №52</t>
  </si>
  <si>
    <t>округа Тверской области от 20.08.2026   №52</t>
  </si>
  <si>
    <t>округа Тверской области от  20.08.2026  №52</t>
  </si>
  <si>
    <t>округа Тверской области от 20.08.2026  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</si>
</sst>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000000000"/>
    <numFmt numFmtId="166" formatCode="#,##0.0"/>
  </numFmts>
  <fonts count="6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name val="Bookman Old Style"/>
      <family val="1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  <font>
      <i/>
      <sz val="10"/>
      <name val="Arial Cyr"/>
      <charset val="204"/>
    </font>
    <font>
      <i/>
      <sz val="9"/>
      <name val="Arial Cyr"/>
      <charset val="204"/>
    </font>
    <font>
      <i/>
      <sz val="11"/>
      <name val="Arial"/>
      <family val="2"/>
      <charset val="204"/>
    </font>
    <font>
      <i/>
      <sz val="11"/>
      <name val="Bookman Old Style"/>
      <family val="1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i/>
      <sz val="10"/>
      <name val="Arial Cyr"/>
      <charset val="204"/>
    </font>
    <font>
      <b/>
      <i/>
      <sz val="11"/>
      <name val="Bookman Old Style"/>
      <family val="1"/>
      <charset val="204"/>
    </font>
    <font>
      <i/>
      <sz val="10"/>
      <name val="Arial"/>
      <family val="2"/>
      <charset val="204"/>
    </font>
    <font>
      <b/>
      <i/>
      <sz val="11"/>
      <name val="Arial"/>
      <family val="2"/>
      <charset val="204"/>
    </font>
    <font>
      <b/>
      <sz val="13"/>
      <name val="Arial Cyr"/>
      <charset val="204"/>
    </font>
    <font>
      <sz val="10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color indexed="8"/>
      <name val="Arial"/>
      <family val="2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64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theme="1" tint="4.9989318521683403E-2"/>
      <name val="Arial Cyr"/>
      <charset val="204"/>
    </font>
    <font>
      <b/>
      <sz val="10"/>
      <color rgb="FF000000"/>
      <name val="Arial CYR"/>
    </font>
    <font>
      <i/>
      <sz val="10"/>
      <color rgb="FF000000"/>
      <name val="Arial Cyr"/>
      <charset val="204"/>
    </font>
    <font>
      <b/>
      <sz val="10"/>
      <color theme="1"/>
      <name val="Arial"/>
      <family val="2"/>
      <charset val="204"/>
    </font>
    <font>
      <b/>
      <i/>
      <sz val="9"/>
      <name val="Arial Cyr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sz val="14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Bookman Old Style"/>
      <family val="1"/>
      <charset val="204"/>
    </font>
    <font>
      <b/>
      <sz val="11"/>
      <color indexed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33" fillId="0" borderId="0"/>
    <xf numFmtId="0" fontId="26" fillId="0" borderId="0" applyNumberFormat="0" applyFill="0" applyBorder="0" applyAlignment="0" applyProtection="0"/>
    <xf numFmtId="0" fontId="33" fillId="0" borderId="0"/>
    <xf numFmtId="1" fontId="39" fillId="0" borderId="12">
      <alignment horizontal="center" vertical="top" shrinkToFit="1"/>
    </xf>
    <xf numFmtId="0" fontId="42" fillId="0" borderId="12">
      <alignment vertical="top" wrapText="1"/>
    </xf>
  </cellStyleXfs>
  <cellXfs count="27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/>
    <xf numFmtId="0" fontId="4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9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49" fontId="1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4" fillId="0" borderId="1" xfId="0" applyFont="1" applyBorder="1"/>
    <xf numFmtId="0" fontId="15" fillId="0" borderId="1" xfId="0" applyFont="1" applyBorder="1"/>
    <xf numFmtId="0" fontId="13" fillId="0" borderId="1" xfId="0" applyFont="1" applyBorder="1"/>
    <xf numFmtId="0" fontId="14" fillId="0" borderId="0" xfId="0" applyFont="1"/>
    <xf numFmtId="0" fontId="16" fillId="0" borderId="1" xfId="0" applyFont="1" applyBorder="1"/>
    <xf numFmtId="49" fontId="17" fillId="0" borderId="1" xfId="0" applyNumberFormat="1" applyFont="1" applyBorder="1" applyAlignment="1">
      <alignment horizontal="center"/>
    </xf>
    <xf numFmtId="0" fontId="18" fillId="0" borderId="1" xfId="0" applyFont="1" applyBorder="1"/>
    <xf numFmtId="49" fontId="18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8" fillId="0" borderId="0" xfId="0" applyFont="1"/>
    <xf numFmtId="49" fontId="20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0" fontId="22" fillId="0" borderId="0" xfId="0" applyFont="1"/>
    <xf numFmtId="0" fontId="16" fillId="0" borderId="0" xfId="0" applyFont="1"/>
    <xf numFmtId="49" fontId="23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0" fontId="1" fillId="0" borderId="0" xfId="0" applyFont="1" applyAlignment="1">
      <alignment horizontal="right"/>
    </xf>
    <xf numFmtId="0" fontId="22" fillId="0" borderId="1" xfId="0" applyFont="1" applyBorder="1"/>
    <xf numFmtId="0" fontId="22" fillId="0" borderId="1" xfId="0" applyFont="1" applyBorder="1" applyAlignment="1">
      <alignment wrapText="1"/>
    </xf>
    <xf numFmtId="49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1" fillId="0" borderId="1" xfId="0" applyFont="1" applyBorder="1"/>
    <xf numFmtId="49" fontId="22" fillId="0" borderId="1" xfId="0" applyNumberFormat="1" applyFont="1" applyBorder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27" fillId="0" borderId="1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8" fillId="0" borderId="1" xfId="0" applyFont="1" applyBorder="1"/>
    <xf numFmtId="0" fontId="13" fillId="0" borderId="0" xfId="0" applyFont="1"/>
    <xf numFmtId="0" fontId="13" fillId="0" borderId="1" xfId="0" applyFont="1" applyBorder="1" applyAlignment="1">
      <alignment horizontal="center"/>
    </xf>
    <xf numFmtId="0" fontId="32" fillId="0" borderId="1" xfId="0" applyFont="1" applyBorder="1"/>
    <xf numFmtId="49" fontId="29" fillId="0" borderId="1" xfId="0" applyNumberFormat="1" applyFont="1" applyBorder="1" applyAlignment="1">
      <alignment horizontal="center"/>
    </xf>
    <xf numFmtId="165" fontId="11" fillId="0" borderId="1" xfId="1" applyNumberFormat="1" applyFont="1" applyBorder="1" applyAlignment="1">
      <alignment horizontal="center"/>
    </xf>
    <xf numFmtId="165" fontId="22" fillId="0" borderId="1" xfId="1" applyNumberFormat="1" applyFont="1" applyBorder="1" applyAlignment="1">
      <alignment horizontal="center"/>
    </xf>
    <xf numFmtId="165" fontId="29" fillId="0" borderId="1" xfId="1" applyNumberFormat="1" applyFont="1" applyBorder="1" applyAlignment="1">
      <alignment horizontal="center"/>
    </xf>
    <xf numFmtId="49" fontId="35" fillId="0" borderId="1" xfId="0" applyNumberFormat="1" applyFont="1" applyBorder="1" applyAlignment="1">
      <alignment horizontal="center"/>
    </xf>
    <xf numFmtId="165" fontId="25" fillId="0" borderId="1" xfId="3" applyNumberFormat="1" applyFont="1" applyBorder="1" applyAlignment="1">
      <alignment horizontal="center"/>
    </xf>
    <xf numFmtId="165" fontId="36" fillId="0" borderId="1" xfId="1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5" fontId="30" fillId="0" borderId="1" xfId="3" applyNumberFormat="1" applyFont="1" applyBorder="1" applyAlignment="1">
      <alignment horizontal="center"/>
    </xf>
    <xf numFmtId="0" fontId="30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indent="16"/>
    </xf>
    <xf numFmtId="0" fontId="0" fillId="0" borderId="0" xfId="0" applyAlignment="1">
      <alignment horizontal="left" indent="16"/>
    </xf>
    <xf numFmtId="0" fontId="2" fillId="0" borderId="0" xfId="0" applyFont="1" applyAlignment="1">
      <alignment horizontal="left" indent="19"/>
    </xf>
    <xf numFmtId="0" fontId="0" fillId="0" borderId="0" xfId="0" applyAlignment="1">
      <alignment horizontal="left" indent="19"/>
    </xf>
    <xf numFmtId="49" fontId="0" fillId="0" borderId="2" xfId="0" applyNumberForma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2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5" fillId="0" borderId="9" xfId="0" applyFont="1" applyBorder="1" applyAlignment="1">
      <alignment horizontal="left" vertical="center" wrapText="1"/>
    </xf>
    <xf numFmtId="164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horizontal="left" indent="14"/>
    </xf>
    <xf numFmtId="0" fontId="2" fillId="0" borderId="0" xfId="0" applyFont="1" applyAlignment="1">
      <alignment horizontal="center"/>
    </xf>
    <xf numFmtId="166" fontId="1" fillId="0" borderId="1" xfId="0" applyNumberFormat="1" applyFont="1" applyBorder="1"/>
    <xf numFmtId="0" fontId="1" fillId="0" borderId="0" xfId="0" applyFont="1"/>
    <xf numFmtId="0" fontId="15" fillId="0" borderId="1" xfId="0" applyFont="1" applyBorder="1" applyAlignment="1">
      <alignment wrapText="1"/>
    </xf>
    <xf numFmtId="0" fontId="37" fillId="0" borderId="0" xfId="0" applyFont="1" applyAlignment="1">
      <alignment wrapText="1"/>
    </xf>
    <xf numFmtId="166" fontId="3" fillId="0" borderId="1" xfId="0" applyNumberFormat="1" applyFont="1" applyBorder="1"/>
    <xf numFmtId="0" fontId="12" fillId="0" borderId="1" xfId="0" applyFont="1" applyBorder="1" applyAlignment="1">
      <alignment wrapText="1"/>
    </xf>
    <xf numFmtId="166" fontId="14" fillId="0" borderId="1" xfId="0" applyNumberFormat="1" applyFont="1" applyBorder="1"/>
    <xf numFmtId="0" fontId="13" fillId="0" borderId="2" xfId="0" applyFont="1" applyBorder="1"/>
    <xf numFmtId="0" fontId="37" fillId="0" borderId="1" xfId="0" applyFont="1" applyBorder="1" applyAlignment="1">
      <alignment wrapText="1"/>
    </xf>
    <xf numFmtId="0" fontId="38" fillId="0" borderId="0" xfId="0" applyFont="1" applyAlignment="1">
      <alignment vertical="justify" wrapText="1"/>
    </xf>
    <xf numFmtId="0" fontId="38" fillId="0" borderId="0" xfId="0" applyFont="1" applyAlignment="1">
      <alignment wrapText="1"/>
    </xf>
    <xf numFmtId="0" fontId="11" fillId="0" borderId="0" xfId="0" applyFont="1"/>
    <xf numFmtId="0" fontId="38" fillId="0" borderId="1" xfId="0" applyFont="1" applyBorder="1" applyAlignment="1">
      <alignment wrapText="1"/>
    </xf>
    <xf numFmtId="49" fontId="40" fillId="0" borderId="13" xfId="4" applyNumberFormat="1" applyFont="1" applyBorder="1" applyAlignment="1">
      <alignment horizontal="center" shrinkToFit="1"/>
    </xf>
    <xf numFmtId="49" fontId="11" fillId="0" borderId="1" xfId="0" applyNumberFormat="1" applyFont="1" applyBorder="1" applyAlignment="1">
      <alignment horizontal="center" wrapText="1"/>
    </xf>
    <xf numFmtId="49" fontId="11" fillId="0" borderId="1" xfId="1" applyNumberFormat="1" applyFont="1" applyBorder="1" applyAlignment="1">
      <alignment horizontal="center"/>
    </xf>
    <xf numFmtId="49" fontId="39" fillId="0" borderId="1" xfId="4" applyNumberFormat="1" applyBorder="1" applyAlignment="1">
      <alignment horizontal="center" wrapText="1" shrinkToFit="1"/>
    </xf>
    <xf numFmtId="49" fontId="39" fillId="0" borderId="13" xfId="4" applyNumberFormat="1" applyBorder="1" applyAlignment="1">
      <alignment horizontal="center" shrinkToFit="1"/>
    </xf>
    <xf numFmtId="49" fontId="39" fillId="0" borderId="14" xfId="4" applyNumberFormat="1" applyBorder="1" applyAlignment="1">
      <alignment horizontal="center" shrinkToFit="1"/>
    </xf>
    <xf numFmtId="1" fontId="43" fillId="0" borderId="1" xfId="4" applyFont="1" applyBorder="1" applyAlignment="1">
      <alignment horizontal="center" shrinkToFit="1"/>
    </xf>
    <xf numFmtId="0" fontId="4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indent="14"/>
    </xf>
    <xf numFmtId="0" fontId="45" fillId="0" borderId="1" xfId="0" applyFont="1" applyBorder="1" applyAlignment="1">
      <alignment wrapText="1"/>
    </xf>
    <xf numFmtId="0" fontId="46" fillId="0" borderId="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" fontId="39" fillId="2" borderId="1" xfId="4" applyFill="1" applyBorder="1" applyAlignment="1">
      <alignment horizontal="center" shrinkToFit="1"/>
    </xf>
    <xf numFmtId="166" fontId="0" fillId="0" borderId="1" xfId="0" applyNumberFormat="1" applyBorder="1"/>
    <xf numFmtId="0" fontId="47" fillId="0" borderId="1" xfId="0" applyFont="1" applyBorder="1" applyAlignment="1">
      <alignment horizontal="justify" vertical="center"/>
    </xf>
    <xf numFmtId="0" fontId="4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indent="23"/>
    </xf>
    <xf numFmtId="49" fontId="49" fillId="0" borderId="1" xfId="0" applyNumberFormat="1" applyFont="1" applyBorder="1" applyAlignment="1">
      <alignment horizontal="center"/>
    </xf>
    <xf numFmtId="0" fontId="51" fillId="0" borderId="1" xfId="0" applyFont="1" applyBorder="1" applyAlignment="1">
      <alignment wrapText="1"/>
    </xf>
    <xf numFmtId="0" fontId="53" fillId="0" borderId="1" xfId="0" applyFont="1" applyBorder="1" applyAlignment="1">
      <alignment horizontal="justify" vertical="center"/>
    </xf>
    <xf numFmtId="0" fontId="53" fillId="0" borderId="1" xfId="0" applyFont="1" applyBorder="1" applyAlignment="1">
      <alignment horizontal="left" vertical="center" wrapText="1"/>
    </xf>
    <xf numFmtId="49" fontId="52" fillId="0" borderId="1" xfId="0" applyNumberFormat="1" applyFont="1" applyBorder="1" applyAlignment="1">
      <alignment horizontal="center"/>
    </xf>
    <xf numFmtId="0" fontId="31" fillId="0" borderId="1" xfId="0" applyFont="1" applyBorder="1" applyAlignment="1">
      <alignment wrapText="1"/>
    </xf>
    <xf numFmtId="0" fontId="53" fillId="0" borderId="1" xfId="0" applyFont="1" applyBorder="1" applyAlignment="1">
      <alignment horizontal="justify" vertical="center" wrapText="1"/>
    </xf>
    <xf numFmtId="0" fontId="53" fillId="0" borderId="1" xfId="0" applyFont="1" applyBorder="1" applyAlignment="1">
      <alignment wrapText="1"/>
    </xf>
    <xf numFmtId="0" fontId="50" fillId="0" borderId="1" xfId="0" applyFont="1" applyBorder="1" applyAlignment="1">
      <alignment wrapText="1"/>
    </xf>
    <xf numFmtId="0" fontId="44" fillId="0" borderId="1" xfId="0" applyFont="1" applyBorder="1" applyAlignment="1">
      <alignment horizontal="left" vertical="center" wrapText="1"/>
    </xf>
    <xf numFmtId="0" fontId="38" fillId="0" borderId="1" xfId="5" applyFont="1" applyBorder="1">
      <alignment vertical="top" wrapText="1"/>
    </xf>
    <xf numFmtId="0" fontId="46" fillId="0" borderId="1" xfId="0" applyFont="1" applyBorder="1" applyAlignment="1">
      <alignment horizontal="left" vertical="center" wrapText="1"/>
    </xf>
    <xf numFmtId="0" fontId="54" fillId="0" borderId="1" xfId="0" applyFont="1" applyBorder="1" applyAlignment="1">
      <alignment horizontal="left" vertical="center" wrapText="1"/>
    </xf>
    <xf numFmtId="0" fontId="54" fillId="0" borderId="1" xfId="0" applyFont="1" applyBorder="1" applyAlignment="1">
      <alignment wrapText="1"/>
    </xf>
    <xf numFmtId="49" fontId="48" fillId="0" borderId="1" xfId="0" applyNumberFormat="1" applyFont="1" applyBorder="1" applyAlignment="1">
      <alignment horizontal="center"/>
    </xf>
    <xf numFmtId="49" fontId="40" fillId="0" borderId="0" xfId="4" applyNumberFormat="1" applyFont="1" applyBorder="1" applyAlignment="1">
      <alignment horizontal="center" shrinkToFit="1"/>
    </xf>
    <xf numFmtId="49" fontId="40" fillId="0" borderId="1" xfId="4" applyNumberFormat="1" applyFont="1" applyBorder="1" applyAlignment="1">
      <alignment horizontal="center" shrinkToFit="1"/>
    </xf>
    <xf numFmtId="49" fontId="53" fillId="0" borderId="1" xfId="0" applyNumberFormat="1" applyFont="1" applyBorder="1" applyAlignment="1">
      <alignment horizontal="center"/>
    </xf>
    <xf numFmtId="0" fontId="55" fillId="0" borderId="2" xfId="5" applyFont="1" applyBorder="1">
      <alignment vertical="top" wrapText="1"/>
    </xf>
    <xf numFmtId="0" fontId="56" fillId="0" borderId="1" xfId="0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wrapText="1"/>
    </xf>
    <xf numFmtId="49" fontId="46" fillId="0" borderId="1" xfId="0" applyNumberFormat="1" applyFont="1" applyBorder="1" applyAlignment="1">
      <alignment horizontal="left" wrapText="1"/>
    </xf>
    <xf numFmtId="0" fontId="40" fillId="0" borderId="2" xfId="5" applyFont="1" applyBorder="1" applyAlignment="1">
      <alignment horizontal="left" vertical="top" wrapText="1"/>
    </xf>
    <xf numFmtId="0" fontId="5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 wrapText="1"/>
    </xf>
    <xf numFmtId="0" fontId="40" fillId="0" borderId="4" xfId="5" applyFont="1" applyBorder="1">
      <alignment vertical="top" wrapText="1"/>
    </xf>
    <xf numFmtId="49" fontId="58" fillId="0" borderId="1" xfId="0" applyNumberFormat="1" applyFont="1" applyBorder="1" applyAlignment="1">
      <alignment horizontal="center"/>
    </xf>
    <xf numFmtId="0" fontId="59" fillId="0" borderId="1" xfId="0" applyFont="1" applyBorder="1" applyAlignment="1">
      <alignment horizontal="left" vertical="center" wrapText="1"/>
    </xf>
    <xf numFmtId="49" fontId="40" fillId="0" borderId="2" xfId="4" applyNumberFormat="1" applyFont="1" applyBorder="1" applyAlignment="1">
      <alignment horizontal="center" shrinkToFit="1"/>
    </xf>
    <xf numFmtId="49" fontId="14" fillId="2" borderId="1" xfId="0" applyNumberFormat="1" applyFont="1" applyFill="1" applyBorder="1" applyAlignment="1">
      <alignment horizontal="center"/>
    </xf>
    <xf numFmtId="1" fontId="43" fillId="2" borderId="1" xfId="4" applyFont="1" applyFill="1" applyBorder="1" applyAlignment="1">
      <alignment horizontal="center" shrinkToFit="1"/>
    </xf>
    <xf numFmtId="0" fontId="0" fillId="0" borderId="8" xfId="0" applyBorder="1" applyAlignment="1">
      <alignment wrapText="1"/>
    </xf>
    <xf numFmtId="0" fontId="22" fillId="0" borderId="8" xfId="0" applyFont="1" applyBorder="1" applyAlignment="1">
      <alignment wrapText="1"/>
    </xf>
    <xf numFmtId="49" fontId="43" fillId="0" borderId="14" xfId="4" applyNumberFormat="1" applyFont="1" applyBorder="1" applyAlignment="1">
      <alignment horizontal="center" shrinkToFit="1"/>
    </xf>
    <xf numFmtId="0" fontId="3" fillId="0" borderId="1" xfId="0" applyFont="1" applyBorder="1"/>
    <xf numFmtId="49" fontId="9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wrapText="1" indent="19"/>
    </xf>
    <xf numFmtId="0" fontId="12" fillId="0" borderId="4" xfId="0" applyFont="1" applyBorder="1" applyAlignment="1">
      <alignment horizontal="left" wrapText="1"/>
    </xf>
    <xf numFmtId="166" fontId="24" fillId="0" borderId="1" xfId="0" applyNumberFormat="1" applyFont="1" applyBorder="1"/>
    <xf numFmtId="166" fontId="4" fillId="0" borderId="1" xfId="0" applyNumberFormat="1" applyFont="1" applyBorder="1"/>
    <xf numFmtId="166" fontId="1" fillId="0" borderId="4" xfId="0" applyNumberFormat="1" applyFont="1" applyBorder="1"/>
    <xf numFmtId="166" fontId="9" fillId="0" borderId="1" xfId="0" applyNumberFormat="1" applyFont="1" applyBorder="1"/>
    <xf numFmtId="166" fontId="17" fillId="0" borderId="1" xfId="0" applyNumberFormat="1" applyFont="1" applyBorder="1"/>
    <xf numFmtId="166" fontId="18" fillId="0" borderId="1" xfId="0" applyNumberFormat="1" applyFont="1" applyBorder="1"/>
    <xf numFmtId="166" fontId="16" fillId="0" borderId="1" xfId="0" applyNumberFormat="1" applyFont="1" applyBorder="1"/>
    <xf numFmtId="166" fontId="11" fillId="0" borderId="1" xfId="0" applyNumberFormat="1" applyFont="1" applyBorder="1"/>
    <xf numFmtId="166" fontId="22" fillId="0" borderId="1" xfId="0" applyNumberFormat="1" applyFont="1" applyBorder="1"/>
    <xf numFmtId="166" fontId="29" fillId="0" borderId="1" xfId="0" applyNumberFormat="1" applyFont="1" applyBorder="1"/>
    <xf numFmtId="166" fontId="0" fillId="0" borderId="12" xfId="0" applyNumberFormat="1" applyBorder="1" applyAlignment="1">
      <alignment vertical="center" wrapText="1"/>
    </xf>
    <xf numFmtId="166" fontId="31" fillId="0" borderId="1" xfId="0" applyNumberFormat="1" applyFont="1" applyBorder="1"/>
    <xf numFmtId="166" fontId="41" fillId="0" borderId="1" xfId="0" applyNumberFormat="1" applyFont="1" applyBorder="1"/>
    <xf numFmtId="166" fontId="49" fillId="0" borderId="1" xfId="0" applyNumberFormat="1" applyFont="1" applyBorder="1"/>
    <xf numFmtId="166" fontId="9" fillId="0" borderId="1" xfId="0" applyNumberFormat="1" applyFont="1" applyBorder="1" applyAlignment="1">
      <alignment horizontal="right"/>
    </xf>
    <xf numFmtId="166" fontId="8" fillId="0" borderId="1" xfId="0" applyNumberFormat="1" applyFont="1" applyBorder="1"/>
    <xf numFmtId="166" fontId="3" fillId="0" borderId="4" xfId="0" applyNumberFormat="1" applyFont="1" applyBorder="1"/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justify" vertical="center"/>
    </xf>
    <xf numFmtId="1" fontId="60" fillId="2" borderId="1" xfId="4" applyFont="1" applyFill="1" applyBorder="1" applyAlignment="1">
      <alignment horizontal="center" shrinkToFit="1"/>
    </xf>
    <xf numFmtId="0" fontId="38" fillId="0" borderId="0" xfId="0" applyFont="1"/>
    <xf numFmtId="0" fontId="48" fillId="0" borderId="1" xfId="0" applyFont="1" applyBorder="1" applyAlignment="1">
      <alignment wrapText="1"/>
    </xf>
    <xf numFmtId="0" fontId="0" fillId="0" borderId="0" xfId="0" applyAlignment="1">
      <alignment horizontal="left" indent="23"/>
    </xf>
    <xf numFmtId="0" fontId="2" fillId="0" borderId="0" xfId="0" applyFont="1" applyAlignment="1">
      <alignment horizontal="left" indent="21"/>
    </xf>
    <xf numFmtId="0" fontId="0" fillId="0" borderId="0" xfId="0" applyAlignment="1">
      <alignment horizontal="left" indent="21"/>
    </xf>
    <xf numFmtId="166" fontId="0" fillId="0" borderId="0" xfId="0" applyNumberFormat="1"/>
    <xf numFmtId="164" fontId="1" fillId="0" borderId="1" xfId="0" applyNumberFormat="1" applyFont="1" applyBorder="1"/>
    <xf numFmtId="166" fontId="3" fillId="0" borderId="1" xfId="0" applyNumberFormat="1" applyFont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0" xfId="0" applyFont="1" applyAlignment="1">
      <alignment horizontal="left" indent="26"/>
    </xf>
    <xf numFmtId="0" fontId="2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1" fillId="0" borderId="0" xfId="0" applyFont="1" applyAlignment="1">
      <alignment horizontal="left" indent="11"/>
    </xf>
    <xf numFmtId="0" fontId="0" fillId="0" borderId="0" xfId="0" applyAlignment="1">
      <alignment horizontal="left" indent="30"/>
    </xf>
    <xf numFmtId="0" fontId="0" fillId="0" borderId="0" xfId="0" applyAlignment="1">
      <alignment horizontal="left" indent="26"/>
    </xf>
    <xf numFmtId="0" fontId="0" fillId="0" borderId="1" xfId="0" applyBorder="1" applyAlignment="1">
      <alignment horizontal="center" vertical="center" wrapText="1"/>
    </xf>
    <xf numFmtId="164" fontId="11" fillId="0" borderId="1" xfId="0" applyNumberFormat="1" applyFont="1" applyBorder="1"/>
    <xf numFmtId="49" fontId="11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horizontal="center" wrapText="1"/>
    </xf>
    <xf numFmtId="164" fontId="0" fillId="0" borderId="2" xfId="0" applyNumberFormat="1" applyBorder="1" applyAlignment="1">
      <alignment vertical="center" wrapText="1"/>
    </xf>
    <xf numFmtId="164" fontId="11" fillId="0" borderId="1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vertical="top" wrapText="1"/>
    </xf>
    <xf numFmtId="164" fontId="11" fillId="0" borderId="1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1" fillId="0" borderId="8" xfId="0" applyNumberFormat="1" applyFont="1" applyBorder="1"/>
    <xf numFmtId="0" fontId="25" fillId="0" borderId="4" xfId="0" applyFont="1" applyBorder="1" applyAlignment="1">
      <alignment horizontal="left" vertical="center" wrapText="1"/>
    </xf>
    <xf numFmtId="0" fontId="38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Alignment="1">
      <alignment horizontal="left" indent="14"/>
    </xf>
    <xf numFmtId="0" fontId="2" fillId="0" borderId="0" xfId="0" applyFont="1" applyAlignment="1">
      <alignment horizontal="left" wrapText="1" indent="14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/>
    <xf numFmtId="0" fontId="13" fillId="0" borderId="1" xfId="0" applyFont="1" applyBorder="1" applyAlignment="1">
      <alignment wrapText="1"/>
    </xf>
    <xf numFmtId="0" fontId="2" fillId="0" borderId="0" xfId="0" applyFont="1" applyAlignment="1">
      <alignment horizontal="left" wrapText="1" indent="21"/>
    </xf>
    <xf numFmtId="0" fontId="0" fillId="0" borderId="0" xfId="0" applyAlignment="1">
      <alignment horizontal="left" wrapText="1" indent="2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indent="21"/>
    </xf>
    <xf numFmtId="0" fontId="0" fillId="0" borderId="10" xfId="0" applyBorder="1" applyAlignment="1">
      <alignment wrapText="1"/>
    </xf>
    <xf numFmtId="49" fontId="1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1" fillId="0" borderId="2" xfId="0" applyNumberFormat="1" applyFont="1" applyBorder="1" applyAlignment="1">
      <alignment wrapText="1"/>
    </xf>
    <xf numFmtId="164" fontId="11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11" fillId="0" borderId="1" xfId="0" applyNumberFormat="1" applyFon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 indent="11"/>
    </xf>
    <xf numFmtId="0" fontId="0" fillId="0" borderId="0" xfId="0" applyAlignment="1">
      <alignment horizontal="left" wrapText="1" indent="11"/>
    </xf>
    <xf numFmtId="0" fontId="2" fillId="0" borderId="0" xfId="0" applyFont="1" applyAlignment="1">
      <alignment horizontal="left" indent="11"/>
    </xf>
  </cellXfs>
  <cellStyles count="6">
    <cellStyle name="Normal" xfId="1"/>
    <cellStyle name="xl25" xfId="4"/>
    <cellStyle name="xl37" xfId="5"/>
    <cellStyle name="Название" xfId="2" builtinId="15" customBuiltin="1"/>
    <cellStyle name="Обычный" xfId="0" builtinId="0"/>
    <cellStyle name="Обычный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3063"/>
      <rgbColor rgb="00EAEAEA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="60" zoomScaleNormal="100" workbookViewId="0">
      <selection activeCell="F5" sqref="F5"/>
    </sheetView>
  </sheetViews>
  <sheetFormatPr defaultColWidth="9.140625" defaultRowHeight="12.75" x14ac:dyDescent="0.2"/>
  <cols>
    <col min="1" max="1" width="24.140625" customWidth="1"/>
    <col min="2" max="2" width="28.140625" customWidth="1"/>
    <col min="3" max="3" width="11.42578125" customWidth="1"/>
    <col min="4" max="4" width="10" hidden="1" customWidth="1"/>
    <col min="5" max="5" width="1.85546875" hidden="1" customWidth="1"/>
    <col min="6" max="7" width="12" customWidth="1"/>
  </cols>
  <sheetData>
    <row r="1" spans="1:3" x14ac:dyDescent="0.2">
      <c r="B1" s="104" t="s">
        <v>100</v>
      </c>
    </row>
    <row r="2" spans="1:3" x14ac:dyDescent="0.2">
      <c r="B2" s="104" t="s">
        <v>579</v>
      </c>
    </row>
    <row r="3" spans="1:3" x14ac:dyDescent="0.2">
      <c r="B3" s="104" t="s">
        <v>714</v>
      </c>
    </row>
    <row r="4" spans="1:3" x14ac:dyDescent="0.2">
      <c r="B4" s="104" t="s">
        <v>575</v>
      </c>
    </row>
    <row r="5" spans="1:3" x14ac:dyDescent="0.2">
      <c r="B5" s="104" t="s">
        <v>576</v>
      </c>
    </row>
    <row r="6" spans="1:3" x14ac:dyDescent="0.2">
      <c r="B6" s="104" t="s">
        <v>580</v>
      </c>
    </row>
    <row r="7" spans="1:3" x14ac:dyDescent="0.2">
      <c r="B7" s="104" t="s">
        <v>199</v>
      </c>
    </row>
    <row r="8" spans="1:3" x14ac:dyDescent="0.2">
      <c r="B8" s="104" t="s">
        <v>577</v>
      </c>
    </row>
    <row r="9" spans="1:3" x14ac:dyDescent="0.2">
      <c r="B9" s="104" t="s">
        <v>578</v>
      </c>
    </row>
    <row r="11" spans="1:3" x14ac:dyDescent="0.2">
      <c r="A11" s="7"/>
      <c r="B11" s="104" t="s">
        <v>100</v>
      </c>
      <c r="C11" s="70"/>
    </row>
    <row r="12" spans="1:3" x14ac:dyDescent="0.2">
      <c r="A12" s="7"/>
      <c r="B12" s="104" t="s">
        <v>579</v>
      </c>
      <c r="C12" s="153"/>
    </row>
    <row r="13" spans="1:3" x14ac:dyDescent="0.2">
      <c r="A13" s="7"/>
      <c r="B13" s="104" t="s">
        <v>581</v>
      </c>
      <c r="C13" s="70"/>
    </row>
    <row r="14" spans="1:3" x14ac:dyDescent="0.2">
      <c r="A14" s="7"/>
      <c r="B14" s="104" t="s">
        <v>199</v>
      </c>
      <c r="C14" s="70"/>
    </row>
    <row r="15" spans="1:3" x14ac:dyDescent="0.2">
      <c r="A15" s="7"/>
      <c r="B15" s="104" t="s">
        <v>573</v>
      </c>
      <c r="C15" s="70"/>
    </row>
    <row r="16" spans="1:3" x14ac:dyDescent="0.2">
      <c r="A16" s="7"/>
      <c r="B16" s="104" t="s">
        <v>574</v>
      </c>
      <c r="C16" s="70"/>
    </row>
    <row r="17" spans="1:7" x14ac:dyDescent="0.2">
      <c r="A17" s="7"/>
      <c r="B17" s="104"/>
      <c r="C17" s="70"/>
    </row>
    <row r="18" spans="1:7" x14ac:dyDescent="0.2">
      <c r="A18" s="7"/>
      <c r="B18" s="104"/>
      <c r="C18" s="70"/>
    </row>
    <row r="19" spans="1:7" ht="28.5" customHeight="1" x14ac:dyDescent="0.2">
      <c r="A19" s="220" t="s">
        <v>513</v>
      </c>
      <c r="B19" s="221"/>
      <c r="C19" s="221"/>
      <c r="D19" s="222"/>
      <c r="E19" s="222"/>
      <c r="F19" s="222"/>
      <c r="G19" s="222"/>
    </row>
    <row r="21" spans="1:7" x14ac:dyDescent="0.2">
      <c r="C21" s="81"/>
    </row>
    <row r="22" spans="1:7" s="83" customFormat="1" ht="12.75" customHeight="1" x14ac:dyDescent="0.2">
      <c r="A22" s="223" t="s">
        <v>138</v>
      </c>
      <c r="B22" s="226" t="s">
        <v>55</v>
      </c>
      <c r="C22" s="229" t="s">
        <v>24</v>
      </c>
      <c r="D22" s="230"/>
      <c r="E22" s="230"/>
      <c r="F22" s="230"/>
      <c r="G22" s="231"/>
    </row>
    <row r="23" spans="1:7" s="83" customFormat="1" ht="12.75" customHeight="1" x14ac:dyDescent="0.2">
      <c r="A23" s="224"/>
      <c r="B23" s="227"/>
      <c r="C23" s="232" t="s">
        <v>189</v>
      </c>
      <c r="D23" s="219" t="s">
        <v>101</v>
      </c>
      <c r="E23" s="219"/>
      <c r="F23" s="219" t="s">
        <v>101</v>
      </c>
      <c r="G23" s="219"/>
    </row>
    <row r="24" spans="1:7" s="83" customFormat="1" x14ac:dyDescent="0.2">
      <c r="A24" s="225"/>
      <c r="B24" s="228"/>
      <c r="C24" s="232"/>
      <c r="D24" s="1" t="s">
        <v>102</v>
      </c>
      <c r="E24" s="1" t="s">
        <v>103</v>
      </c>
      <c r="F24" s="1" t="s">
        <v>198</v>
      </c>
      <c r="G24" s="1" t="s">
        <v>219</v>
      </c>
    </row>
    <row r="25" spans="1:7" s="83" customFormat="1" ht="36" customHeight="1" x14ac:dyDescent="0.2">
      <c r="A25" s="154" t="s">
        <v>202</v>
      </c>
      <c r="B25" s="105" t="s">
        <v>203</v>
      </c>
      <c r="C25" s="183">
        <v>121953.9</v>
      </c>
      <c r="D25" s="37"/>
      <c r="E25" s="37"/>
      <c r="F25" s="37">
        <v>0</v>
      </c>
      <c r="G25" s="37">
        <v>0</v>
      </c>
    </row>
    <row r="26" spans="1:7" ht="34.5" customHeight="1" x14ac:dyDescent="0.2">
      <c r="A26" s="73" t="s">
        <v>139</v>
      </c>
      <c r="B26" s="87" t="s">
        <v>140</v>
      </c>
      <c r="C26" s="86">
        <f t="shared" ref="C26:G26" si="0">C27+C29</f>
        <v>126182.40000000014</v>
      </c>
      <c r="D26" s="86">
        <f t="shared" si="0"/>
        <v>0</v>
      </c>
      <c r="E26" s="86">
        <f t="shared" si="0"/>
        <v>0</v>
      </c>
      <c r="F26" s="86">
        <f t="shared" si="0"/>
        <v>0</v>
      </c>
      <c r="G26" s="86">
        <f t="shared" si="0"/>
        <v>0</v>
      </c>
    </row>
    <row r="27" spans="1:7" ht="26.25" customHeight="1" x14ac:dyDescent="0.2">
      <c r="A27" s="22" t="s">
        <v>141</v>
      </c>
      <c r="B27" s="84" t="s">
        <v>142</v>
      </c>
      <c r="C27" s="88">
        <f>C28</f>
        <v>-1797457.9</v>
      </c>
      <c r="D27" s="88">
        <f t="shared" ref="D27:F27" si="1">D28</f>
        <v>0</v>
      </c>
      <c r="E27" s="88">
        <f t="shared" si="1"/>
        <v>0</v>
      </c>
      <c r="F27" s="88">
        <f t="shared" si="1"/>
        <v>-1695594.8</v>
      </c>
      <c r="G27" s="88">
        <f>G28</f>
        <v>-1773510.2</v>
      </c>
    </row>
    <row r="28" spans="1:7" ht="36" x14ac:dyDescent="0.2">
      <c r="A28" s="23" t="s">
        <v>529</v>
      </c>
      <c r="B28" s="85" t="s">
        <v>530</v>
      </c>
      <c r="C28" s="82">
        <v>-1797457.9</v>
      </c>
      <c r="D28" s="82"/>
      <c r="E28" s="82"/>
      <c r="F28" s="82">
        <v>-1695594.8</v>
      </c>
      <c r="G28" s="82">
        <v>-1773510.2</v>
      </c>
    </row>
    <row r="29" spans="1:7" ht="24" x14ac:dyDescent="0.2">
      <c r="A29" s="22" t="s">
        <v>143</v>
      </c>
      <c r="B29" s="84" t="s">
        <v>144</v>
      </c>
      <c r="C29" s="88">
        <f>C30</f>
        <v>1923640.3</v>
      </c>
      <c r="D29" s="88">
        <f t="shared" ref="D29:G29" si="2">D30</f>
        <v>0</v>
      </c>
      <c r="E29" s="88">
        <f t="shared" si="2"/>
        <v>0</v>
      </c>
      <c r="F29" s="88">
        <f>F30</f>
        <v>1695594.8</v>
      </c>
      <c r="G29" s="88">
        <f t="shared" si="2"/>
        <v>1773510.2</v>
      </c>
    </row>
    <row r="30" spans="1:7" ht="36" x14ac:dyDescent="0.2">
      <c r="A30" s="89" t="s">
        <v>532</v>
      </c>
      <c r="B30" s="90" t="s">
        <v>531</v>
      </c>
      <c r="C30" s="82">
        <v>1923640.3</v>
      </c>
      <c r="D30" s="82"/>
      <c r="E30" s="82"/>
      <c r="F30" s="82">
        <v>1695594.8</v>
      </c>
      <c r="G30" s="82">
        <v>1773510.2</v>
      </c>
    </row>
    <row r="31" spans="1:7" ht="12.75" customHeight="1" x14ac:dyDescent="0.2">
      <c r="A31" s="218" t="s">
        <v>145</v>
      </c>
      <c r="B31" s="219"/>
      <c r="C31" s="86">
        <f>C27+C29</f>
        <v>126182.40000000014</v>
      </c>
      <c r="D31" s="86" t="e">
        <f>#REF!+D27+D29</f>
        <v>#REF!</v>
      </c>
      <c r="E31" s="86" t="e">
        <f>#REF!+E27+E29</f>
        <v>#REF!</v>
      </c>
      <c r="F31" s="86">
        <f>F27+F29</f>
        <v>0</v>
      </c>
      <c r="G31" s="86">
        <f>G27+G29</f>
        <v>0</v>
      </c>
    </row>
  </sheetData>
  <mergeCells count="8">
    <mergeCell ref="A31:B31"/>
    <mergeCell ref="A19:G19"/>
    <mergeCell ref="A22:A24"/>
    <mergeCell ref="B22:B24"/>
    <mergeCell ref="C22:G22"/>
    <mergeCell ref="C23:C24"/>
    <mergeCell ref="D23:E23"/>
    <mergeCell ref="F23:G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70"/>
  <sheetViews>
    <sheetView view="pageBreakPreview" zoomScale="60" zoomScaleNormal="100" workbookViewId="0">
      <selection activeCell="F6" sqref="F6"/>
    </sheetView>
  </sheetViews>
  <sheetFormatPr defaultColWidth="9.140625" defaultRowHeight="14.25" x14ac:dyDescent="0.2"/>
  <cols>
    <col min="1" max="1" width="3" style="17" customWidth="1"/>
    <col min="2" max="2" width="3.140625" customWidth="1"/>
    <col min="3" max="3" width="3.28515625" customWidth="1"/>
    <col min="4" max="4" width="42.7109375" customWidth="1"/>
    <col min="5" max="6" width="13.85546875" customWidth="1"/>
    <col min="7" max="7" width="13.42578125" customWidth="1"/>
    <col min="9" max="9" width="12.42578125" customWidth="1"/>
    <col min="10" max="10" width="12.5703125" customWidth="1"/>
  </cols>
  <sheetData>
    <row r="1" spans="4:4" x14ac:dyDescent="0.2">
      <c r="D1" s="116" t="s">
        <v>522</v>
      </c>
    </row>
    <row r="2" spans="4:4" x14ac:dyDescent="0.2">
      <c r="D2" s="116" t="s">
        <v>579</v>
      </c>
    </row>
    <row r="3" spans="4:4" x14ac:dyDescent="0.2">
      <c r="D3" s="116" t="s">
        <v>715</v>
      </c>
    </row>
    <row r="4" spans="4:4" x14ac:dyDescent="0.2">
      <c r="D4" s="116" t="s">
        <v>575</v>
      </c>
    </row>
    <row r="5" spans="4:4" x14ac:dyDescent="0.2">
      <c r="D5" s="116" t="s">
        <v>576</v>
      </c>
    </row>
    <row r="6" spans="4:4" x14ac:dyDescent="0.2">
      <c r="D6" s="116" t="s">
        <v>580</v>
      </c>
    </row>
    <row r="7" spans="4:4" x14ac:dyDescent="0.2">
      <c r="D7" s="116" t="s">
        <v>199</v>
      </c>
    </row>
    <row r="8" spans="4:4" x14ac:dyDescent="0.2">
      <c r="D8" s="116" t="s">
        <v>577</v>
      </c>
    </row>
    <row r="9" spans="4:4" x14ac:dyDescent="0.2">
      <c r="D9" s="116" t="s">
        <v>578</v>
      </c>
    </row>
    <row r="10" spans="4:4" x14ac:dyDescent="0.2">
      <c r="D10" s="178"/>
    </row>
    <row r="11" spans="4:4" x14ac:dyDescent="0.2">
      <c r="D11" s="116" t="s">
        <v>522</v>
      </c>
    </row>
    <row r="12" spans="4:4" x14ac:dyDescent="0.2">
      <c r="D12" s="116" t="s">
        <v>579</v>
      </c>
    </row>
    <row r="13" spans="4:4" x14ac:dyDescent="0.2">
      <c r="D13" s="116" t="s">
        <v>581</v>
      </c>
    </row>
    <row r="14" spans="4:4" x14ac:dyDescent="0.2">
      <c r="D14" s="116" t="s">
        <v>199</v>
      </c>
    </row>
    <row r="15" spans="4:4" x14ac:dyDescent="0.2">
      <c r="D15" s="116" t="s">
        <v>573</v>
      </c>
    </row>
    <row r="16" spans="4:4" x14ac:dyDescent="0.2">
      <c r="D16" s="116" t="s">
        <v>574</v>
      </c>
    </row>
    <row r="18" spans="1:7" x14ac:dyDescent="0.2">
      <c r="E18" s="7"/>
    </row>
    <row r="19" spans="1:7" ht="47.25" customHeight="1" x14ac:dyDescent="0.2">
      <c r="A19" s="220" t="s">
        <v>220</v>
      </c>
      <c r="B19" s="220"/>
      <c r="C19" s="220"/>
      <c r="D19" s="220"/>
      <c r="E19" s="220"/>
      <c r="F19" s="222"/>
      <c r="G19" s="222"/>
    </row>
    <row r="21" spans="1:7" x14ac:dyDescent="0.2">
      <c r="E21" s="6"/>
    </row>
    <row r="22" spans="1:7" ht="12.75" x14ac:dyDescent="0.2">
      <c r="A22" s="233" t="s">
        <v>52</v>
      </c>
      <c r="B22" s="236" t="s">
        <v>19</v>
      </c>
      <c r="C22" s="236" t="s">
        <v>23</v>
      </c>
      <c r="D22" s="226" t="s">
        <v>55</v>
      </c>
      <c r="E22" s="232" t="s">
        <v>24</v>
      </c>
      <c r="F22" s="219"/>
      <c r="G22" s="219"/>
    </row>
    <row r="23" spans="1:7" ht="12.75" x14ac:dyDescent="0.2">
      <c r="A23" s="234"/>
      <c r="B23" s="237"/>
      <c r="C23" s="237"/>
      <c r="D23" s="227"/>
      <c r="E23" s="236" t="s">
        <v>189</v>
      </c>
      <c r="F23" s="219" t="s">
        <v>101</v>
      </c>
      <c r="G23" s="219"/>
    </row>
    <row r="24" spans="1:7" ht="12.75" x14ac:dyDescent="0.2">
      <c r="A24" s="235"/>
      <c r="B24" s="238"/>
      <c r="C24" s="238"/>
      <c r="D24" s="228"/>
      <c r="E24" s="238"/>
      <c r="F24" s="103" t="s">
        <v>198</v>
      </c>
      <c r="G24" s="103" t="s">
        <v>219</v>
      </c>
    </row>
    <row r="25" spans="1:7" ht="12.75" x14ac:dyDescent="0.2">
      <c r="A25" s="2">
        <v>1</v>
      </c>
      <c r="B25" s="2">
        <v>2</v>
      </c>
      <c r="C25" s="2">
        <v>3</v>
      </c>
      <c r="D25" s="2">
        <v>4</v>
      </c>
      <c r="E25" s="2">
        <v>5</v>
      </c>
      <c r="F25" s="2">
        <v>6</v>
      </c>
      <c r="G25" s="2">
        <v>7</v>
      </c>
    </row>
    <row r="26" spans="1:7" ht="18" x14ac:dyDescent="0.25">
      <c r="A26" s="53"/>
      <c r="B26" s="12"/>
      <c r="C26" s="12"/>
      <c r="D26" s="9" t="s">
        <v>57</v>
      </c>
      <c r="E26" s="155">
        <f>E27+E35+E37+E41+E46+E51+E58+E61+E65+E67</f>
        <v>1923640.3</v>
      </c>
      <c r="F26" s="155">
        <f t="shared" ref="F26:G26" si="0">F27+F35+F37+F41+F46+F51+F58+F61+F65+F67</f>
        <v>1657947.5000000002</v>
      </c>
      <c r="G26" s="155">
        <f t="shared" si="0"/>
        <v>1651295.0999999999</v>
      </c>
    </row>
    <row r="27" spans="1:7" ht="15.75" x14ac:dyDescent="0.25">
      <c r="A27" s="15">
        <v>1</v>
      </c>
      <c r="B27" s="4" t="s">
        <v>53</v>
      </c>
      <c r="C27" s="11"/>
      <c r="D27" s="3" t="s">
        <v>56</v>
      </c>
      <c r="E27" s="156">
        <f>SUM(E28:E34)</f>
        <v>206285.19999999998</v>
      </c>
      <c r="F27" s="156">
        <f t="shared" ref="F27:G27" si="1">SUM(F28:F34)</f>
        <v>185498</v>
      </c>
      <c r="G27" s="156">
        <f t="shared" si="1"/>
        <v>180246.2</v>
      </c>
    </row>
    <row r="28" spans="1:7" ht="38.25" x14ac:dyDescent="0.2">
      <c r="A28" s="53"/>
      <c r="B28" s="5" t="s">
        <v>53</v>
      </c>
      <c r="C28" s="5" t="s">
        <v>54</v>
      </c>
      <c r="D28" s="20" t="s">
        <v>15</v>
      </c>
      <c r="E28" s="113">
        <v>3242.9</v>
      </c>
      <c r="F28" s="113">
        <v>3242.9</v>
      </c>
      <c r="G28" s="113">
        <v>3242.9</v>
      </c>
    </row>
    <row r="29" spans="1:7" ht="51" x14ac:dyDescent="0.2">
      <c r="A29" s="53"/>
      <c r="B29" s="5" t="s">
        <v>53</v>
      </c>
      <c r="C29" s="5" t="s">
        <v>58</v>
      </c>
      <c r="D29" s="20" t="s">
        <v>92</v>
      </c>
      <c r="E29" s="113">
        <v>2937.8</v>
      </c>
      <c r="F29" s="113">
        <v>2937.8</v>
      </c>
      <c r="G29" s="113">
        <v>2937.8</v>
      </c>
    </row>
    <row r="30" spans="1:7" ht="51" x14ac:dyDescent="0.2">
      <c r="A30" s="53"/>
      <c r="B30" s="5" t="s">
        <v>53</v>
      </c>
      <c r="C30" s="5" t="s">
        <v>59</v>
      </c>
      <c r="D30" s="20" t="s">
        <v>85</v>
      </c>
      <c r="E30" s="113">
        <v>79900.899999999994</v>
      </c>
      <c r="F30" s="113">
        <v>79924.899999999994</v>
      </c>
      <c r="G30" s="113">
        <v>79929.100000000006</v>
      </c>
    </row>
    <row r="31" spans="1:7" x14ac:dyDescent="0.2">
      <c r="A31" s="53"/>
      <c r="B31" s="5" t="s">
        <v>53</v>
      </c>
      <c r="C31" s="5" t="s">
        <v>60</v>
      </c>
      <c r="D31" s="76" t="s">
        <v>135</v>
      </c>
      <c r="E31" s="157">
        <v>96.5</v>
      </c>
      <c r="F31" s="157">
        <v>9</v>
      </c>
      <c r="G31" s="157">
        <v>9.5</v>
      </c>
    </row>
    <row r="32" spans="1:7" ht="38.25" x14ac:dyDescent="0.2">
      <c r="A32" s="53"/>
      <c r="B32" s="5" t="s">
        <v>53</v>
      </c>
      <c r="C32" s="5" t="s">
        <v>61</v>
      </c>
      <c r="D32" s="76" t="s">
        <v>8</v>
      </c>
      <c r="E32" s="113">
        <v>19590.099999999999</v>
      </c>
      <c r="F32" s="113">
        <v>19590.099999999999</v>
      </c>
      <c r="G32" s="113">
        <v>19590.099999999999</v>
      </c>
    </row>
    <row r="33" spans="1:7" x14ac:dyDescent="0.2">
      <c r="A33" s="53"/>
      <c r="B33" s="5" t="s">
        <v>53</v>
      </c>
      <c r="C33" s="5" t="s">
        <v>67</v>
      </c>
      <c r="D33" s="76" t="s">
        <v>3</v>
      </c>
      <c r="E33" s="113">
        <v>810.4</v>
      </c>
      <c r="F33" s="113">
        <v>1000</v>
      </c>
      <c r="G33" s="113">
        <v>1000</v>
      </c>
    </row>
    <row r="34" spans="1:7" x14ac:dyDescent="0.2">
      <c r="A34" s="53"/>
      <c r="B34" s="5" t="s">
        <v>53</v>
      </c>
      <c r="C34" s="5" t="s">
        <v>7</v>
      </c>
      <c r="D34" s="1" t="s">
        <v>62</v>
      </c>
      <c r="E34" s="113">
        <v>99706.6</v>
      </c>
      <c r="F34" s="113">
        <v>78793.3</v>
      </c>
      <c r="G34" s="113">
        <v>73536.800000000003</v>
      </c>
    </row>
    <row r="35" spans="1:7" ht="15" x14ac:dyDescent="0.25">
      <c r="A35" s="53"/>
      <c r="B35" s="152" t="s">
        <v>54</v>
      </c>
      <c r="C35" s="5"/>
      <c r="D35" s="151" t="s">
        <v>374</v>
      </c>
      <c r="E35" s="158">
        <f>E36</f>
        <v>595.6</v>
      </c>
      <c r="F35" s="158">
        <f t="shared" ref="F35:G35" si="2">F36</f>
        <v>660.1</v>
      </c>
      <c r="G35" s="158">
        <f t="shared" si="2"/>
        <v>830.1</v>
      </c>
    </row>
    <row r="36" spans="1:7" x14ac:dyDescent="0.2">
      <c r="A36" s="53"/>
      <c r="B36" s="5" t="s">
        <v>54</v>
      </c>
      <c r="C36" s="5" t="s">
        <v>58</v>
      </c>
      <c r="D36" s="1" t="s">
        <v>375</v>
      </c>
      <c r="E36" s="113">
        <v>595.6</v>
      </c>
      <c r="F36" s="113">
        <v>660.1</v>
      </c>
      <c r="G36" s="113">
        <v>830.1</v>
      </c>
    </row>
    <row r="37" spans="1:7" ht="33.75" customHeight="1" x14ac:dyDescent="0.25">
      <c r="A37" s="15">
        <v>2</v>
      </c>
      <c r="B37" s="4" t="s">
        <v>58</v>
      </c>
      <c r="C37" s="3"/>
      <c r="D37" s="10" t="s">
        <v>63</v>
      </c>
      <c r="E37" s="156">
        <f>SUM(E38:E40)</f>
        <v>20104.400000000001</v>
      </c>
      <c r="F37" s="156">
        <f t="shared" ref="F37:G37" si="3">SUM(F38:F40)</f>
        <v>13177.1</v>
      </c>
      <c r="G37" s="156">
        <f t="shared" si="3"/>
        <v>13177.1</v>
      </c>
    </row>
    <row r="38" spans="1:7" ht="15" x14ac:dyDescent="0.25">
      <c r="A38" s="15"/>
      <c r="B38" s="5" t="s">
        <v>58</v>
      </c>
      <c r="C38" s="5" t="s">
        <v>59</v>
      </c>
      <c r="D38" s="76" t="s">
        <v>16</v>
      </c>
      <c r="E38" s="113">
        <v>1705.2</v>
      </c>
      <c r="F38" s="113">
        <v>1705.2</v>
      </c>
      <c r="G38" s="113">
        <v>1705.2</v>
      </c>
    </row>
    <row r="39" spans="1:7" ht="51" x14ac:dyDescent="0.2">
      <c r="A39" s="53"/>
      <c r="B39" s="5" t="s">
        <v>58</v>
      </c>
      <c r="C39" s="5" t="s">
        <v>75</v>
      </c>
      <c r="D39" s="76" t="s">
        <v>157</v>
      </c>
      <c r="E39" s="113">
        <v>18249.2</v>
      </c>
      <c r="F39" s="113">
        <v>11321.9</v>
      </c>
      <c r="G39" s="113">
        <v>11321.9</v>
      </c>
    </row>
    <row r="40" spans="1:7" ht="38.25" x14ac:dyDescent="0.2">
      <c r="A40" s="53"/>
      <c r="B40" s="5" t="s">
        <v>58</v>
      </c>
      <c r="C40" s="5" t="s">
        <v>86</v>
      </c>
      <c r="D40" s="74" t="s">
        <v>20</v>
      </c>
      <c r="E40" s="113">
        <v>150</v>
      </c>
      <c r="F40" s="113">
        <v>150</v>
      </c>
      <c r="G40" s="113">
        <v>150</v>
      </c>
    </row>
    <row r="41" spans="1:7" ht="15.75" x14ac:dyDescent="0.25">
      <c r="A41" s="15">
        <v>3</v>
      </c>
      <c r="B41" s="4" t="s">
        <v>59</v>
      </c>
      <c r="C41" s="3"/>
      <c r="D41" s="10" t="s">
        <v>65</v>
      </c>
      <c r="E41" s="156">
        <f>SUM(E42:E45)</f>
        <v>309167.60000000003</v>
      </c>
      <c r="F41" s="156">
        <f>SUM(F42:F45)</f>
        <v>224401</v>
      </c>
      <c r="G41" s="156">
        <f>SUM(G42:G45)</f>
        <v>224036.6</v>
      </c>
    </row>
    <row r="42" spans="1:7" x14ac:dyDescent="0.2">
      <c r="A42" s="53"/>
      <c r="B42" s="5" t="s">
        <v>59</v>
      </c>
      <c r="C42" s="5" t="s">
        <v>60</v>
      </c>
      <c r="D42" s="1" t="s">
        <v>68</v>
      </c>
      <c r="E42" s="113">
        <v>5009.6000000000004</v>
      </c>
      <c r="F42" s="113">
        <v>42.2</v>
      </c>
      <c r="G42" s="113">
        <v>59</v>
      </c>
    </row>
    <row r="43" spans="1:7" x14ac:dyDescent="0.2">
      <c r="A43" s="53"/>
      <c r="B43" s="5" t="s">
        <v>59</v>
      </c>
      <c r="C43" s="5" t="s">
        <v>66</v>
      </c>
      <c r="D43" s="1" t="s">
        <v>0</v>
      </c>
      <c r="E43" s="113">
        <f>41713.8+0.1</f>
        <v>41713.9</v>
      </c>
      <c r="F43" s="113">
        <v>34681.4</v>
      </c>
      <c r="G43" s="113">
        <v>34681.4</v>
      </c>
    </row>
    <row r="44" spans="1:7" x14ac:dyDescent="0.2">
      <c r="A44" s="53"/>
      <c r="B44" s="5" t="s">
        <v>59</v>
      </c>
      <c r="C44" s="5" t="s">
        <v>64</v>
      </c>
      <c r="D44" s="1" t="s">
        <v>118</v>
      </c>
      <c r="E44" s="113">
        <f>259925.2+973.6</f>
        <v>260898.80000000002</v>
      </c>
      <c r="F44" s="113">
        <v>187808.4</v>
      </c>
      <c r="G44" s="113">
        <v>187425.2</v>
      </c>
    </row>
    <row r="45" spans="1:7" ht="25.5" x14ac:dyDescent="0.2">
      <c r="A45" s="53"/>
      <c r="B45" s="5" t="s">
        <v>59</v>
      </c>
      <c r="C45" s="5" t="s">
        <v>87</v>
      </c>
      <c r="D45" s="76" t="s">
        <v>2</v>
      </c>
      <c r="E45" s="113">
        <v>1545.3</v>
      </c>
      <c r="F45" s="113">
        <v>1869</v>
      </c>
      <c r="G45" s="113">
        <v>1871</v>
      </c>
    </row>
    <row r="46" spans="1:7" ht="15.75" x14ac:dyDescent="0.25">
      <c r="A46" s="15">
        <v>4</v>
      </c>
      <c r="B46" s="4" t="s">
        <v>60</v>
      </c>
      <c r="C46" s="5"/>
      <c r="D46" s="43" t="s">
        <v>34</v>
      </c>
      <c r="E46" s="156">
        <f>SUM(E47:E50)</f>
        <v>254268</v>
      </c>
      <c r="F46" s="156">
        <f t="shared" ref="F46:G46" si="4">SUM(F47:F50)</f>
        <v>148724.40000000002</v>
      </c>
      <c r="G46" s="156">
        <f t="shared" si="4"/>
        <v>135807.9</v>
      </c>
    </row>
    <row r="47" spans="1:7" ht="15" x14ac:dyDescent="0.25">
      <c r="A47" s="15"/>
      <c r="B47" s="16" t="s">
        <v>60</v>
      </c>
      <c r="C47" s="16" t="s">
        <v>53</v>
      </c>
      <c r="D47" s="45" t="s">
        <v>32</v>
      </c>
      <c r="E47" s="82">
        <v>7668.7</v>
      </c>
      <c r="F47" s="113">
        <v>9971.2999999999993</v>
      </c>
      <c r="G47" s="113">
        <v>8553.7999999999993</v>
      </c>
    </row>
    <row r="48" spans="1:7" ht="15" x14ac:dyDescent="0.25">
      <c r="A48" s="15"/>
      <c r="B48" s="16" t="s">
        <v>60</v>
      </c>
      <c r="C48" s="16" t="s">
        <v>54</v>
      </c>
      <c r="D48" s="45" t="s">
        <v>31</v>
      </c>
      <c r="E48" s="82">
        <v>126713.9</v>
      </c>
      <c r="F48" s="113">
        <v>57709.5</v>
      </c>
      <c r="G48" s="113">
        <v>45410.6</v>
      </c>
    </row>
    <row r="49" spans="1:7" x14ac:dyDescent="0.2">
      <c r="A49" s="53"/>
      <c r="B49" s="16" t="s">
        <v>60</v>
      </c>
      <c r="C49" s="16" t="s">
        <v>58</v>
      </c>
      <c r="D49" s="45" t="s">
        <v>35</v>
      </c>
      <c r="E49" s="82">
        <v>117737.2</v>
      </c>
      <c r="F49" s="113">
        <v>78814.399999999994</v>
      </c>
      <c r="G49" s="113">
        <v>79525.5</v>
      </c>
    </row>
    <row r="50" spans="1:7" ht="27" customHeight="1" x14ac:dyDescent="0.2">
      <c r="A50" s="53"/>
      <c r="B50" s="16" t="s">
        <v>60</v>
      </c>
      <c r="C50" s="65" t="s">
        <v>60</v>
      </c>
      <c r="D50" s="74" t="s">
        <v>172</v>
      </c>
      <c r="E50" s="82">
        <v>2148.1999999999998</v>
      </c>
      <c r="F50" s="82">
        <v>2229.1999999999998</v>
      </c>
      <c r="G50" s="82">
        <v>2318</v>
      </c>
    </row>
    <row r="51" spans="1:7" ht="15.75" x14ac:dyDescent="0.25">
      <c r="A51" s="15">
        <v>5</v>
      </c>
      <c r="B51" s="4" t="s">
        <v>69</v>
      </c>
      <c r="C51" s="3"/>
      <c r="D51" s="10" t="s">
        <v>70</v>
      </c>
      <c r="E51" s="156">
        <f>SUM(E52:E57)</f>
        <v>956243.99999999988</v>
      </c>
      <c r="F51" s="156">
        <f t="shared" ref="F51:G51" si="5">SUM(F52:F57)</f>
        <v>936666.70000000007</v>
      </c>
      <c r="G51" s="156">
        <f t="shared" si="5"/>
        <v>938255.79999999993</v>
      </c>
    </row>
    <row r="52" spans="1:7" x14ac:dyDescent="0.2">
      <c r="A52" s="53"/>
      <c r="B52" s="5" t="s">
        <v>69</v>
      </c>
      <c r="C52" s="5" t="s">
        <v>53</v>
      </c>
      <c r="D52" s="1" t="s">
        <v>72</v>
      </c>
      <c r="E52" s="113">
        <v>220363.5</v>
      </c>
      <c r="F52" s="113">
        <v>216344.8</v>
      </c>
      <c r="G52" s="113">
        <v>216963.6</v>
      </c>
    </row>
    <row r="53" spans="1:7" x14ac:dyDescent="0.2">
      <c r="A53" s="53"/>
      <c r="B53" s="5" t="s">
        <v>69</v>
      </c>
      <c r="C53" s="5" t="s">
        <v>54</v>
      </c>
      <c r="D53" s="1" t="s">
        <v>73</v>
      </c>
      <c r="E53" s="113">
        <v>582339.69999999995</v>
      </c>
      <c r="F53" s="113">
        <v>574988.30000000005</v>
      </c>
      <c r="G53" s="113">
        <v>576158.6</v>
      </c>
    </row>
    <row r="54" spans="1:7" x14ac:dyDescent="0.2">
      <c r="A54" s="53"/>
      <c r="B54" s="5" t="s">
        <v>69</v>
      </c>
      <c r="C54" s="5" t="s">
        <v>58</v>
      </c>
      <c r="D54" s="1" t="s">
        <v>109</v>
      </c>
      <c r="E54" s="113">
        <v>105871</v>
      </c>
      <c r="F54" s="113">
        <v>100221.9</v>
      </c>
      <c r="G54" s="113">
        <v>100021.9</v>
      </c>
    </row>
    <row r="55" spans="1:7" ht="25.5" x14ac:dyDescent="0.2">
      <c r="A55" s="53"/>
      <c r="B55" s="5" t="s">
        <v>69</v>
      </c>
      <c r="C55" s="5" t="s">
        <v>60</v>
      </c>
      <c r="D55" s="76" t="s">
        <v>1</v>
      </c>
      <c r="E55" s="113">
        <v>250.1</v>
      </c>
      <c r="F55" s="113">
        <v>250.1</v>
      </c>
      <c r="G55" s="113">
        <v>250.1</v>
      </c>
    </row>
    <row r="56" spans="1:7" x14ac:dyDescent="0.2">
      <c r="A56" s="53"/>
      <c r="B56" s="5" t="s">
        <v>69</v>
      </c>
      <c r="C56" s="5" t="s">
        <v>69</v>
      </c>
      <c r="D56" s="1" t="s">
        <v>108</v>
      </c>
      <c r="E56" s="113">
        <v>23605</v>
      </c>
      <c r="F56" s="113">
        <v>21181.9</v>
      </c>
      <c r="G56" s="113">
        <v>21181.9</v>
      </c>
    </row>
    <row r="57" spans="1:7" x14ac:dyDescent="0.2">
      <c r="A57" s="53"/>
      <c r="B57" s="5" t="s">
        <v>69</v>
      </c>
      <c r="C57" s="5" t="s">
        <v>64</v>
      </c>
      <c r="D57" s="1" t="s">
        <v>74</v>
      </c>
      <c r="E57" s="113">
        <v>23814.7</v>
      </c>
      <c r="F57" s="113">
        <v>23679.7</v>
      </c>
      <c r="G57" s="113">
        <v>23679.7</v>
      </c>
    </row>
    <row r="58" spans="1:7" ht="15.75" x14ac:dyDescent="0.25">
      <c r="A58" s="15">
        <v>6</v>
      </c>
      <c r="B58" s="4" t="s">
        <v>66</v>
      </c>
      <c r="C58" s="3"/>
      <c r="D58" s="10" t="s">
        <v>18</v>
      </c>
      <c r="E58" s="156">
        <f>SUM(E59:E60)</f>
        <v>130693.59999999999</v>
      </c>
      <c r="F58" s="156">
        <f t="shared" ref="F58:G58" si="6">SUM(F59:F60)</f>
        <v>120076.3</v>
      </c>
      <c r="G58" s="156">
        <f t="shared" si="6"/>
        <v>120076.3</v>
      </c>
    </row>
    <row r="59" spans="1:7" x14ac:dyDescent="0.2">
      <c r="A59" s="53"/>
      <c r="B59" s="5" t="s">
        <v>66</v>
      </c>
      <c r="C59" s="5" t="s">
        <v>53</v>
      </c>
      <c r="D59" s="1" t="s">
        <v>71</v>
      </c>
      <c r="E59" s="113">
        <v>125193.9</v>
      </c>
      <c r="F59" s="113">
        <v>114576.6</v>
      </c>
      <c r="G59" s="113">
        <v>114576.6</v>
      </c>
    </row>
    <row r="60" spans="1:7" ht="25.5" x14ac:dyDescent="0.2">
      <c r="A60" s="53"/>
      <c r="B60" s="5" t="s">
        <v>66</v>
      </c>
      <c r="C60" s="5" t="s">
        <v>59</v>
      </c>
      <c r="D60" s="76" t="s">
        <v>5</v>
      </c>
      <c r="E60" s="113">
        <v>5499.7</v>
      </c>
      <c r="F60" s="113">
        <v>5499.7</v>
      </c>
      <c r="G60" s="113">
        <v>5499.7</v>
      </c>
    </row>
    <row r="61" spans="1:7" ht="15.75" x14ac:dyDescent="0.25">
      <c r="A61" s="15">
        <v>7</v>
      </c>
      <c r="B61" s="4" t="s">
        <v>75</v>
      </c>
      <c r="C61" s="3"/>
      <c r="D61" s="10" t="s">
        <v>76</v>
      </c>
      <c r="E61" s="156">
        <f>SUM(E62:E64)</f>
        <v>39266.1</v>
      </c>
      <c r="F61" s="156">
        <f t="shared" ref="F61:G61" si="7">SUM(F62:F64)</f>
        <v>22989</v>
      </c>
      <c r="G61" s="156">
        <f t="shared" si="7"/>
        <v>33048.899999999994</v>
      </c>
    </row>
    <row r="62" spans="1:7" x14ac:dyDescent="0.2">
      <c r="A62" s="53"/>
      <c r="B62" s="5" t="s">
        <v>75</v>
      </c>
      <c r="C62" s="5" t="s">
        <v>53</v>
      </c>
      <c r="D62" s="1" t="s">
        <v>77</v>
      </c>
      <c r="E62" s="113">
        <v>6024.9</v>
      </c>
      <c r="F62" s="113">
        <v>6024.9</v>
      </c>
      <c r="G62" s="113">
        <v>6024.9</v>
      </c>
    </row>
    <row r="63" spans="1:7" x14ac:dyDescent="0.2">
      <c r="A63" s="53"/>
      <c r="B63" s="5" t="s">
        <v>75</v>
      </c>
      <c r="C63" s="5" t="s">
        <v>58</v>
      </c>
      <c r="D63" s="1" t="s">
        <v>81</v>
      </c>
      <c r="E63" s="113">
        <v>2912.7</v>
      </c>
      <c r="F63" s="113">
        <v>2169.4</v>
      </c>
      <c r="G63" s="113">
        <v>2169.4</v>
      </c>
    </row>
    <row r="64" spans="1:7" x14ac:dyDescent="0.2">
      <c r="A64" s="53"/>
      <c r="B64" s="5" t="s">
        <v>75</v>
      </c>
      <c r="C64" s="5" t="s">
        <v>59</v>
      </c>
      <c r="D64" s="1" t="s">
        <v>11</v>
      </c>
      <c r="E64" s="113">
        <v>30328.5</v>
      </c>
      <c r="F64" s="113">
        <v>14794.7</v>
      </c>
      <c r="G64" s="113">
        <v>24854.6</v>
      </c>
    </row>
    <row r="65" spans="1:7" ht="15.75" x14ac:dyDescent="0.25">
      <c r="A65" s="15">
        <v>8</v>
      </c>
      <c r="B65" s="4" t="s">
        <v>67</v>
      </c>
      <c r="C65" s="5"/>
      <c r="D65" s="10" t="s">
        <v>88</v>
      </c>
      <c r="E65" s="156">
        <f>SUM(E66:E66)</f>
        <v>861.5</v>
      </c>
      <c r="F65" s="156">
        <f t="shared" ref="F65:G65" si="8">SUM(F66:F66)</f>
        <v>861.5</v>
      </c>
      <c r="G65" s="156">
        <f t="shared" si="8"/>
        <v>861.5</v>
      </c>
    </row>
    <row r="66" spans="1:7" x14ac:dyDescent="0.2">
      <c r="A66" s="53"/>
      <c r="B66" s="5" t="s">
        <v>67</v>
      </c>
      <c r="C66" s="5" t="s">
        <v>54</v>
      </c>
      <c r="D66" s="76" t="s">
        <v>4</v>
      </c>
      <c r="E66" s="113">
        <v>861.5</v>
      </c>
      <c r="F66" s="113">
        <v>861.5</v>
      </c>
      <c r="G66" s="113">
        <v>861.5</v>
      </c>
    </row>
    <row r="67" spans="1:7" ht="15.75" x14ac:dyDescent="0.25">
      <c r="A67" s="15">
        <v>9</v>
      </c>
      <c r="B67" s="4" t="s">
        <v>87</v>
      </c>
      <c r="C67" s="5"/>
      <c r="D67" s="10" t="s">
        <v>6</v>
      </c>
      <c r="E67" s="156">
        <f>SUM(E68:E68)</f>
        <v>6154.3</v>
      </c>
      <c r="F67" s="156">
        <f t="shared" ref="F67:G67" si="9">SUM(F68:F68)</f>
        <v>4893.3999999999996</v>
      </c>
      <c r="G67" s="156">
        <f t="shared" si="9"/>
        <v>4954.7</v>
      </c>
    </row>
    <row r="68" spans="1:7" ht="25.5" x14ac:dyDescent="0.2">
      <c r="A68" s="53"/>
      <c r="B68" s="5" t="s">
        <v>87</v>
      </c>
      <c r="C68" s="5" t="s">
        <v>59</v>
      </c>
      <c r="D68" s="74" t="s">
        <v>12</v>
      </c>
      <c r="E68" s="113">
        <v>6154.3</v>
      </c>
      <c r="F68" s="113">
        <v>4893.3999999999996</v>
      </c>
      <c r="G68" s="113">
        <v>4954.7</v>
      </c>
    </row>
    <row r="70" spans="1:7" s="17" customFormat="1" x14ac:dyDescent="0.2">
      <c r="B70" s="17" t="s">
        <v>48</v>
      </c>
    </row>
  </sheetData>
  <mergeCells count="8">
    <mergeCell ref="A19:G19"/>
    <mergeCell ref="A22:A24"/>
    <mergeCell ref="B22:B24"/>
    <mergeCell ref="C22:C24"/>
    <mergeCell ref="D22:D24"/>
    <mergeCell ref="E22:G22"/>
    <mergeCell ref="E23:E24"/>
    <mergeCell ref="F23:G23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4" fitToHeight="0" orientation="portrait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661"/>
  <sheetViews>
    <sheetView topLeftCell="B1" zoomScaleNormal="100" workbookViewId="0">
      <selection activeCell="I10" sqref="I10"/>
    </sheetView>
  </sheetViews>
  <sheetFormatPr defaultColWidth="9.140625" defaultRowHeight="12.75" x14ac:dyDescent="0.2"/>
  <cols>
    <col min="1" max="1" width="2.28515625" hidden="1" customWidth="1"/>
    <col min="2" max="2" width="3.85546875" style="54" customWidth="1"/>
    <col min="3" max="3" width="2.85546875" customWidth="1"/>
    <col min="4" max="4" width="2.5703125" customWidth="1"/>
    <col min="5" max="5" width="11.5703125" customWidth="1"/>
    <col min="6" max="6" width="3.42578125" customWidth="1"/>
    <col min="7" max="7" width="35.85546875" customWidth="1"/>
    <col min="8" max="8" width="11.5703125" customWidth="1"/>
    <col min="9" max="9" width="11.7109375" customWidth="1"/>
    <col min="10" max="10" width="12" customWidth="1"/>
  </cols>
  <sheetData>
    <row r="1" spans="2:10" s="80" customFormat="1" x14ac:dyDescent="0.2">
      <c r="B1" s="239" t="s">
        <v>51</v>
      </c>
      <c r="C1" s="239"/>
      <c r="G1" s="70" t="s">
        <v>181</v>
      </c>
      <c r="H1" s="69"/>
      <c r="I1" s="69"/>
      <c r="J1" s="69"/>
    </row>
    <row r="2" spans="2:10" s="80" customFormat="1" x14ac:dyDescent="0.2">
      <c r="B2" s="240" t="s">
        <v>99</v>
      </c>
      <c r="C2" s="240"/>
      <c r="G2" s="70" t="s">
        <v>579</v>
      </c>
      <c r="H2" s="68"/>
      <c r="I2" s="69"/>
      <c r="J2" s="69"/>
    </row>
    <row r="3" spans="2:10" s="80" customFormat="1" x14ac:dyDescent="0.2">
      <c r="B3" s="239" t="s">
        <v>94</v>
      </c>
      <c r="C3" s="239"/>
      <c r="G3" s="70" t="s">
        <v>716</v>
      </c>
      <c r="H3" s="68"/>
      <c r="I3" s="69"/>
      <c r="J3" s="69"/>
    </row>
    <row r="4" spans="2:10" x14ac:dyDescent="0.2">
      <c r="G4" s="70" t="s">
        <v>575</v>
      </c>
      <c r="H4" s="68"/>
      <c r="I4" s="69"/>
      <c r="J4" s="69"/>
    </row>
    <row r="5" spans="2:10" x14ac:dyDescent="0.2">
      <c r="G5" s="70" t="s">
        <v>576</v>
      </c>
      <c r="H5" s="68"/>
      <c r="I5" s="69"/>
      <c r="J5" s="69"/>
    </row>
    <row r="6" spans="2:10" x14ac:dyDescent="0.2">
      <c r="G6" s="70" t="s">
        <v>580</v>
      </c>
      <c r="H6" s="68"/>
      <c r="I6" s="69"/>
      <c r="J6" s="69"/>
    </row>
    <row r="7" spans="2:10" x14ac:dyDescent="0.2">
      <c r="G7" s="70" t="s">
        <v>199</v>
      </c>
      <c r="H7" s="68"/>
      <c r="I7" s="69"/>
      <c r="J7" s="69"/>
    </row>
    <row r="8" spans="2:10" x14ac:dyDescent="0.2">
      <c r="G8" s="70" t="s">
        <v>577</v>
      </c>
      <c r="H8" s="68"/>
      <c r="I8" s="69"/>
      <c r="J8" s="69"/>
    </row>
    <row r="9" spans="2:10" x14ac:dyDescent="0.2">
      <c r="G9" s="70" t="s">
        <v>578</v>
      </c>
      <c r="H9" s="68"/>
      <c r="I9" s="69"/>
      <c r="J9" s="69"/>
    </row>
    <row r="10" spans="2:10" x14ac:dyDescent="0.2">
      <c r="G10" s="71"/>
      <c r="H10" s="68"/>
      <c r="I10" s="69"/>
      <c r="J10" s="69"/>
    </row>
    <row r="11" spans="2:10" x14ac:dyDescent="0.2">
      <c r="G11" s="70" t="s">
        <v>181</v>
      </c>
      <c r="H11" s="68"/>
      <c r="I11" s="69"/>
      <c r="J11" s="69"/>
    </row>
    <row r="12" spans="2:10" x14ac:dyDescent="0.2">
      <c r="G12" s="70" t="s">
        <v>579</v>
      </c>
      <c r="H12" s="68"/>
      <c r="I12" s="69"/>
      <c r="J12" s="69"/>
    </row>
    <row r="13" spans="2:10" x14ac:dyDescent="0.2">
      <c r="G13" s="70" t="s">
        <v>581</v>
      </c>
      <c r="H13" s="68"/>
      <c r="I13" s="69"/>
      <c r="J13" s="69"/>
    </row>
    <row r="14" spans="2:10" x14ac:dyDescent="0.2">
      <c r="G14" s="70" t="s">
        <v>199</v>
      </c>
      <c r="H14" s="68"/>
      <c r="I14" s="69"/>
      <c r="J14" s="69"/>
    </row>
    <row r="15" spans="2:10" x14ac:dyDescent="0.2">
      <c r="G15" s="70" t="s">
        <v>573</v>
      </c>
      <c r="H15" s="68"/>
      <c r="I15" s="69"/>
      <c r="J15" s="69"/>
    </row>
    <row r="16" spans="2:10" x14ac:dyDescent="0.2">
      <c r="G16" s="70" t="s">
        <v>574</v>
      </c>
      <c r="H16" s="68"/>
      <c r="I16" s="69"/>
      <c r="J16" s="69"/>
    </row>
    <row r="17" spans="1:10" x14ac:dyDescent="0.2">
      <c r="G17" s="68"/>
      <c r="H17" s="68"/>
      <c r="I17" s="69"/>
      <c r="J17" s="69"/>
    </row>
    <row r="18" spans="1:10" x14ac:dyDescent="0.2">
      <c r="G18" s="7"/>
      <c r="H18" s="7"/>
    </row>
    <row r="19" spans="1:10" ht="73.5" customHeight="1" x14ac:dyDescent="0.2">
      <c r="A19" s="220" t="s">
        <v>710</v>
      </c>
      <c r="B19" s="243"/>
      <c r="C19" s="243"/>
      <c r="D19" s="243"/>
      <c r="E19" s="243"/>
      <c r="F19" s="243"/>
      <c r="G19" s="243"/>
      <c r="H19" s="243"/>
      <c r="I19" s="244"/>
      <c r="J19" s="244"/>
    </row>
    <row r="20" spans="1:10" ht="15" x14ac:dyDescent="0.2">
      <c r="A20" s="107"/>
      <c r="B20" s="109"/>
      <c r="C20" s="109"/>
      <c r="D20" s="109"/>
      <c r="E20" s="109"/>
      <c r="F20" s="109"/>
      <c r="G20" s="109"/>
      <c r="H20" s="109"/>
    </row>
    <row r="21" spans="1:10" ht="12.75" customHeight="1" x14ac:dyDescent="0.2">
      <c r="B21" s="245" t="s">
        <v>93</v>
      </c>
      <c r="C21" s="226" t="s">
        <v>82</v>
      </c>
      <c r="D21" s="226" t="s">
        <v>83</v>
      </c>
      <c r="E21" s="226" t="s">
        <v>84</v>
      </c>
      <c r="F21" s="226" t="s">
        <v>78</v>
      </c>
      <c r="G21" s="226" t="s">
        <v>55</v>
      </c>
      <c r="H21" s="232" t="s">
        <v>24</v>
      </c>
      <c r="I21" s="219"/>
      <c r="J21" s="219"/>
    </row>
    <row r="22" spans="1:10" ht="12.75" customHeight="1" x14ac:dyDescent="0.2">
      <c r="A22" s="241" t="s">
        <v>52</v>
      </c>
      <c r="B22" s="219"/>
      <c r="C22" s="227"/>
      <c r="D22" s="227"/>
      <c r="E22" s="227"/>
      <c r="F22" s="227"/>
      <c r="G22" s="227"/>
      <c r="H22" s="236" t="s">
        <v>189</v>
      </c>
      <c r="I22" s="219" t="s">
        <v>101</v>
      </c>
      <c r="J22" s="219"/>
    </row>
    <row r="23" spans="1:10" x14ac:dyDescent="0.2">
      <c r="A23" s="242"/>
      <c r="B23" s="219"/>
      <c r="C23" s="228"/>
      <c r="D23" s="228"/>
      <c r="E23" s="228"/>
      <c r="F23" s="228"/>
      <c r="G23" s="228"/>
      <c r="H23" s="238"/>
      <c r="I23" s="103" t="s">
        <v>198</v>
      </c>
      <c r="J23" s="103" t="s">
        <v>219</v>
      </c>
    </row>
    <row r="24" spans="1:10" x14ac:dyDescent="0.2">
      <c r="A24" s="2">
        <v>1</v>
      </c>
      <c r="B24" s="55">
        <v>1</v>
      </c>
      <c r="C24" s="55">
        <v>2</v>
      </c>
      <c r="D24" s="55">
        <v>3</v>
      </c>
      <c r="E24" s="55">
        <v>4</v>
      </c>
      <c r="F24" s="55">
        <v>5</v>
      </c>
      <c r="G24" s="55">
        <v>6</v>
      </c>
      <c r="H24" s="55">
        <v>7</v>
      </c>
      <c r="I24" s="55">
        <v>8</v>
      </c>
      <c r="J24" s="55">
        <v>9</v>
      </c>
    </row>
    <row r="25" spans="1:10" ht="18" x14ac:dyDescent="0.25">
      <c r="A25" s="12"/>
      <c r="B25" s="23"/>
      <c r="C25" s="12"/>
      <c r="D25" s="12"/>
      <c r="E25" s="12"/>
      <c r="F25" s="12"/>
      <c r="G25" s="9" t="s">
        <v>57</v>
      </c>
      <c r="H25" s="158">
        <f>H26+H34+H43+H408+H559+H649</f>
        <v>1923640.2999999998</v>
      </c>
      <c r="I25" s="158">
        <f>I26+I34+I43+I408+I559+I649</f>
        <v>1657947.4999999998</v>
      </c>
      <c r="J25" s="158">
        <f>J26+J34+J43+J408+J559+J649</f>
        <v>1651295.0999999999</v>
      </c>
    </row>
    <row r="26" spans="1:10" ht="54" x14ac:dyDescent="0.25">
      <c r="A26" s="3">
        <v>1</v>
      </c>
      <c r="B26" s="73">
        <v>936</v>
      </c>
      <c r="C26" s="13"/>
      <c r="D26" s="13"/>
      <c r="E26" s="13"/>
      <c r="F26" s="13"/>
      <c r="G26" s="14" t="s">
        <v>232</v>
      </c>
      <c r="H26" s="156">
        <f t="shared" ref="H26:J30" si="0">H27</f>
        <v>2937.8</v>
      </c>
      <c r="I26" s="156">
        <f t="shared" si="0"/>
        <v>2937.8</v>
      </c>
      <c r="J26" s="156">
        <f t="shared" si="0"/>
        <v>2937.8</v>
      </c>
    </row>
    <row r="27" spans="1:10" ht="15" customHeight="1" x14ac:dyDescent="0.25">
      <c r="A27" s="3"/>
      <c r="B27" s="73"/>
      <c r="C27" s="4" t="s">
        <v>53</v>
      </c>
      <c r="D27" s="11"/>
      <c r="E27" s="11"/>
      <c r="F27" s="11"/>
      <c r="G27" s="43" t="s">
        <v>56</v>
      </c>
      <c r="H27" s="156">
        <f t="shared" si="0"/>
        <v>2937.8</v>
      </c>
      <c r="I27" s="156">
        <f t="shared" si="0"/>
        <v>2937.8</v>
      </c>
      <c r="J27" s="156">
        <f t="shared" si="0"/>
        <v>2937.8</v>
      </c>
    </row>
    <row r="28" spans="1:10" ht="64.5" x14ac:dyDescent="0.25">
      <c r="A28" s="27"/>
      <c r="B28" s="22"/>
      <c r="C28" s="28" t="s">
        <v>53</v>
      </c>
      <c r="D28" s="28" t="s">
        <v>58</v>
      </c>
      <c r="E28" s="29"/>
      <c r="F28" s="29"/>
      <c r="G28" s="42" t="s">
        <v>92</v>
      </c>
      <c r="H28" s="159">
        <f t="shared" si="0"/>
        <v>2937.8</v>
      </c>
      <c r="I28" s="159">
        <f t="shared" si="0"/>
        <v>2937.8</v>
      </c>
      <c r="J28" s="159">
        <f t="shared" si="0"/>
        <v>2937.8</v>
      </c>
    </row>
    <row r="29" spans="1:10" ht="25.5" x14ac:dyDescent="0.2">
      <c r="A29" s="1"/>
      <c r="B29" s="23"/>
      <c r="C29" s="16" t="s">
        <v>53</v>
      </c>
      <c r="D29" s="16" t="s">
        <v>58</v>
      </c>
      <c r="E29" s="62">
        <v>9900000000</v>
      </c>
      <c r="F29" s="19"/>
      <c r="G29" s="48" t="s">
        <v>105</v>
      </c>
      <c r="H29" s="82">
        <f t="shared" si="0"/>
        <v>2937.8</v>
      </c>
      <c r="I29" s="82">
        <f t="shared" si="0"/>
        <v>2937.8</v>
      </c>
      <c r="J29" s="82">
        <f t="shared" si="0"/>
        <v>2937.8</v>
      </c>
    </row>
    <row r="30" spans="1:10" ht="38.25" x14ac:dyDescent="0.2">
      <c r="A30" s="1"/>
      <c r="B30" s="23"/>
      <c r="C30" s="16" t="s">
        <v>53</v>
      </c>
      <c r="D30" s="16" t="s">
        <v>58</v>
      </c>
      <c r="E30" s="62">
        <v>9990000000</v>
      </c>
      <c r="F30" s="16"/>
      <c r="G30" s="47" t="s">
        <v>25</v>
      </c>
      <c r="H30" s="82">
        <f t="shared" si="0"/>
        <v>2937.8</v>
      </c>
      <c r="I30" s="82">
        <f t="shared" si="0"/>
        <v>2937.8</v>
      </c>
      <c r="J30" s="82">
        <f t="shared" si="0"/>
        <v>2937.8</v>
      </c>
    </row>
    <row r="31" spans="1:10" ht="25.5" x14ac:dyDescent="0.2">
      <c r="A31" s="1"/>
      <c r="B31" s="23"/>
      <c r="C31" s="16" t="s">
        <v>53</v>
      </c>
      <c r="D31" s="16" t="s">
        <v>58</v>
      </c>
      <c r="E31" s="62">
        <v>9990022500</v>
      </c>
      <c r="F31" s="19"/>
      <c r="G31" s="76" t="s">
        <v>516</v>
      </c>
      <c r="H31" s="82">
        <f>SUM(H32:H33)</f>
        <v>2937.8</v>
      </c>
      <c r="I31" s="82">
        <f>SUM(I32:I33)</f>
        <v>2937.8</v>
      </c>
      <c r="J31" s="82">
        <f>SUM(J32:J33)</f>
        <v>2937.8</v>
      </c>
    </row>
    <row r="32" spans="1:10" ht="38.25" x14ac:dyDescent="0.2">
      <c r="A32" s="1"/>
      <c r="B32" s="23"/>
      <c r="C32" s="16" t="s">
        <v>53</v>
      </c>
      <c r="D32" s="16" t="s">
        <v>58</v>
      </c>
      <c r="E32" s="62">
        <v>9990022500</v>
      </c>
      <c r="F32" s="16" t="s">
        <v>40</v>
      </c>
      <c r="G32" s="48" t="s">
        <v>41</v>
      </c>
      <c r="H32" s="113">
        <f>2329+459.3</f>
        <v>2788.3</v>
      </c>
      <c r="I32" s="113">
        <f t="shared" ref="I32:J32" si="1">2329+459.3</f>
        <v>2788.3</v>
      </c>
      <c r="J32" s="113">
        <f t="shared" si="1"/>
        <v>2788.3</v>
      </c>
    </row>
    <row r="33" spans="1:12" ht="38.25" x14ac:dyDescent="0.2">
      <c r="A33" s="1"/>
      <c r="B33" s="23"/>
      <c r="C33" s="16" t="s">
        <v>53</v>
      </c>
      <c r="D33" s="16" t="s">
        <v>58</v>
      </c>
      <c r="E33" s="62">
        <v>9990022500</v>
      </c>
      <c r="F33" s="65" t="s">
        <v>119</v>
      </c>
      <c r="G33" s="75" t="s">
        <v>120</v>
      </c>
      <c r="H33" s="113">
        <v>149.5</v>
      </c>
      <c r="I33" s="113">
        <v>149.5</v>
      </c>
      <c r="J33" s="113">
        <v>149.5</v>
      </c>
    </row>
    <row r="34" spans="1:12" ht="63.75" customHeight="1" x14ac:dyDescent="0.25">
      <c r="A34" s="1"/>
      <c r="B34" s="73">
        <v>939</v>
      </c>
      <c r="C34" s="13"/>
      <c r="D34" s="13"/>
      <c r="E34" s="13"/>
      <c r="F34" s="13"/>
      <c r="G34" s="10" t="s">
        <v>234</v>
      </c>
      <c r="H34" s="156">
        <f t="shared" ref="H34:J36" si="2">H35</f>
        <v>2959.3</v>
      </c>
      <c r="I34" s="156">
        <f t="shared" si="2"/>
        <v>2959.3</v>
      </c>
      <c r="J34" s="156">
        <f t="shared" si="2"/>
        <v>2959.3</v>
      </c>
    </row>
    <row r="35" spans="1:12" ht="15" customHeight="1" x14ac:dyDescent="0.25">
      <c r="A35" s="1"/>
      <c r="B35" s="73"/>
      <c r="C35" s="4" t="s">
        <v>53</v>
      </c>
      <c r="D35" s="11"/>
      <c r="E35" s="11"/>
      <c r="F35" s="11"/>
      <c r="G35" s="43" t="s">
        <v>56</v>
      </c>
      <c r="H35" s="156">
        <f t="shared" si="2"/>
        <v>2959.3</v>
      </c>
      <c r="I35" s="156">
        <f t="shared" si="2"/>
        <v>2959.3</v>
      </c>
      <c r="J35" s="156">
        <f t="shared" si="2"/>
        <v>2959.3</v>
      </c>
    </row>
    <row r="36" spans="1:12" ht="50.25" customHeight="1" x14ac:dyDescent="0.2">
      <c r="A36" s="1"/>
      <c r="B36" s="22"/>
      <c r="C36" s="28" t="s">
        <v>53</v>
      </c>
      <c r="D36" s="28" t="s">
        <v>61</v>
      </c>
      <c r="E36" s="29"/>
      <c r="F36" s="29"/>
      <c r="G36" s="40" t="s">
        <v>90</v>
      </c>
      <c r="H36" s="88">
        <f t="shared" si="2"/>
        <v>2959.3</v>
      </c>
      <c r="I36" s="88">
        <f t="shared" si="2"/>
        <v>2959.3</v>
      </c>
      <c r="J36" s="88">
        <f t="shared" si="2"/>
        <v>2959.3</v>
      </c>
    </row>
    <row r="37" spans="1:12" ht="38.25" x14ac:dyDescent="0.2">
      <c r="A37" s="1"/>
      <c r="B37" s="22"/>
      <c r="C37" s="16" t="s">
        <v>53</v>
      </c>
      <c r="D37" s="65" t="s">
        <v>61</v>
      </c>
      <c r="E37" s="62">
        <v>9990000000</v>
      </c>
      <c r="F37" s="16"/>
      <c r="G37" s="47" t="s">
        <v>25</v>
      </c>
      <c r="H37" s="113">
        <f>H38+H40</f>
        <v>2959.3</v>
      </c>
      <c r="I37" s="113">
        <f t="shared" ref="I37:J37" si="3">I38+I40</f>
        <v>2959.3</v>
      </c>
      <c r="J37" s="113">
        <f t="shared" si="3"/>
        <v>2959.3</v>
      </c>
    </row>
    <row r="38" spans="1:12" ht="25.5" x14ac:dyDescent="0.2">
      <c r="A38" s="1"/>
      <c r="B38" s="22"/>
      <c r="C38" s="16" t="s">
        <v>53</v>
      </c>
      <c r="D38" s="16" t="s">
        <v>61</v>
      </c>
      <c r="E38" s="62">
        <v>9990022350</v>
      </c>
      <c r="F38" s="16"/>
      <c r="G38" s="75" t="s">
        <v>191</v>
      </c>
      <c r="H38" s="113">
        <f>H39</f>
        <v>1805.9</v>
      </c>
      <c r="I38" s="113">
        <f t="shared" ref="I38:J38" si="4">I39</f>
        <v>1805.9</v>
      </c>
      <c r="J38" s="113">
        <f t="shared" si="4"/>
        <v>1805.9</v>
      </c>
    </row>
    <row r="39" spans="1:12" ht="38.25" x14ac:dyDescent="0.2">
      <c r="A39" s="1"/>
      <c r="B39" s="22"/>
      <c r="C39" s="16" t="s">
        <v>53</v>
      </c>
      <c r="D39" s="16" t="s">
        <v>61</v>
      </c>
      <c r="E39" s="62">
        <v>9990022350</v>
      </c>
      <c r="F39" s="16" t="s">
        <v>40</v>
      </c>
      <c r="G39" s="76" t="s">
        <v>47</v>
      </c>
      <c r="H39" s="113">
        <f>1504.7+301.2</f>
        <v>1805.9</v>
      </c>
      <c r="I39" s="113">
        <f t="shared" ref="I39:J39" si="5">1504.7+301.2</f>
        <v>1805.9</v>
      </c>
      <c r="J39" s="113">
        <f t="shared" si="5"/>
        <v>1805.9</v>
      </c>
    </row>
    <row r="40" spans="1:12" ht="25.5" x14ac:dyDescent="0.2">
      <c r="A40" s="1"/>
      <c r="B40" s="23"/>
      <c r="C40" s="16" t="s">
        <v>53</v>
      </c>
      <c r="D40" s="16" t="s">
        <v>61</v>
      </c>
      <c r="E40" s="62">
        <v>9990022300</v>
      </c>
      <c r="F40" s="19"/>
      <c r="G40" s="76" t="s">
        <v>517</v>
      </c>
      <c r="H40" s="82">
        <f>H41+H42</f>
        <v>1153.4000000000001</v>
      </c>
      <c r="I40" s="82">
        <f>I41+I42</f>
        <v>1153.4000000000001</v>
      </c>
      <c r="J40" s="82">
        <f>J41+J42</f>
        <v>1153.4000000000001</v>
      </c>
    </row>
    <row r="41" spans="1:12" ht="38.25" x14ac:dyDescent="0.2">
      <c r="A41" s="1"/>
      <c r="B41" s="23"/>
      <c r="C41" s="16" t="s">
        <v>53</v>
      </c>
      <c r="D41" s="16" t="s">
        <v>61</v>
      </c>
      <c r="E41" s="62">
        <v>9990022300</v>
      </c>
      <c r="F41" s="16" t="s">
        <v>40</v>
      </c>
      <c r="G41" s="76" t="s">
        <v>47</v>
      </c>
      <c r="H41" s="113">
        <f>870.9+196</f>
        <v>1066.9000000000001</v>
      </c>
      <c r="I41" s="113">
        <f t="shared" ref="I41:J41" si="6">870.9+196</f>
        <v>1066.9000000000001</v>
      </c>
      <c r="J41" s="113">
        <f t="shared" si="6"/>
        <v>1066.9000000000001</v>
      </c>
    </row>
    <row r="42" spans="1:12" ht="38.25" x14ac:dyDescent="0.2">
      <c r="A42" s="1"/>
      <c r="B42" s="23"/>
      <c r="C42" s="16" t="s">
        <v>53</v>
      </c>
      <c r="D42" s="16" t="s">
        <v>61</v>
      </c>
      <c r="E42" s="62">
        <v>9990022300</v>
      </c>
      <c r="F42" s="65" t="s">
        <v>119</v>
      </c>
      <c r="G42" s="75" t="s">
        <v>120</v>
      </c>
      <c r="H42" s="113">
        <v>86.5</v>
      </c>
      <c r="I42" s="113">
        <v>86.5</v>
      </c>
      <c r="J42" s="113">
        <v>86.5</v>
      </c>
    </row>
    <row r="43" spans="1:12" s="8" customFormat="1" ht="70.900000000000006" customHeight="1" x14ac:dyDescent="0.25">
      <c r="A43" s="3">
        <v>2</v>
      </c>
      <c r="B43" s="73">
        <v>937</v>
      </c>
      <c r="C43" s="13"/>
      <c r="D43" s="13"/>
      <c r="E43" s="13"/>
      <c r="F43" s="13"/>
      <c r="G43" s="14" t="s">
        <v>227</v>
      </c>
      <c r="H43" s="158">
        <f>H44+H102+H109+H145+H224+H364+H394</f>
        <v>802860.9</v>
      </c>
      <c r="I43" s="158">
        <f>I44+I102+I109+I145+I224+I364+I394</f>
        <v>567173.1</v>
      </c>
      <c r="J43" s="158">
        <f>J44+J102+J109+J145+J224+J364+J394</f>
        <v>558931.6</v>
      </c>
    </row>
    <row r="44" spans="1:12" ht="15.75" x14ac:dyDescent="0.25">
      <c r="A44" s="3"/>
      <c r="B44" s="73"/>
      <c r="C44" s="4" t="s">
        <v>53</v>
      </c>
      <c r="D44" s="11"/>
      <c r="E44" s="11"/>
      <c r="F44" s="11"/>
      <c r="G44" s="15" t="s">
        <v>56</v>
      </c>
      <c r="H44" s="156">
        <f>H45+H50+H60+H65</f>
        <v>182946.89999999997</v>
      </c>
      <c r="I44" s="156">
        <f>I45+I50+I60+I65</f>
        <v>161970.09999999998</v>
      </c>
      <c r="J44" s="156">
        <f>J45+J50+J60+J65</f>
        <v>156718.29999999999</v>
      </c>
    </row>
    <row r="45" spans="1:12" ht="51.75" x14ac:dyDescent="0.25">
      <c r="A45" s="3"/>
      <c r="B45" s="73"/>
      <c r="C45" s="28" t="s">
        <v>53</v>
      </c>
      <c r="D45" s="28" t="s">
        <v>54</v>
      </c>
      <c r="E45" s="28"/>
      <c r="F45" s="28"/>
      <c r="G45" s="40" t="s">
        <v>15</v>
      </c>
      <c r="H45" s="160">
        <f>H46</f>
        <v>3242.8999999999996</v>
      </c>
      <c r="I45" s="160">
        <f>I46</f>
        <v>3242.8999999999996</v>
      </c>
      <c r="J45" s="160">
        <f>J46</f>
        <v>3242.8999999999996</v>
      </c>
      <c r="L45" s="181"/>
    </row>
    <row r="46" spans="1:12" ht="25.5" x14ac:dyDescent="0.25">
      <c r="A46" s="3"/>
      <c r="B46" s="73"/>
      <c r="C46" s="16" t="s">
        <v>53</v>
      </c>
      <c r="D46" s="16" t="s">
        <v>54</v>
      </c>
      <c r="E46" s="62">
        <v>9900000000</v>
      </c>
      <c r="F46" s="16"/>
      <c r="G46" s="48" t="s">
        <v>104</v>
      </c>
      <c r="H46" s="82">
        <f>H48</f>
        <v>3242.8999999999996</v>
      </c>
      <c r="I46" s="82">
        <f>I48</f>
        <v>3242.8999999999996</v>
      </c>
      <c r="J46" s="82">
        <f>J48</f>
        <v>3242.8999999999996</v>
      </c>
    </row>
    <row r="47" spans="1:12" ht="38.25" x14ac:dyDescent="0.25">
      <c r="A47" s="3"/>
      <c r="B47" s="73"/>
      <c r="C47" s="16" t="s">
        <v>53</v>
      </c>
      <c r="D47" s="16" t="s">
        <v>54</v>
      </c>
      <c r="E47" s="62">
        <v>9980000000</v>
      </c>
      <c r="F47" s="16"/>
      <c r="G47" s="47" t="s">
        <v>26</v>
      </c>
      <c r="H47" s="82">
        <f>H48</f>
        <v>3242.8999999999996</v>
      </c>
      <c r="I47" s="82">
        <f>I48</f>
        <v>3242.8999999999996</v>
      </c>
      <c r="J47" s="82">
        <f>J48</f>
        <v>3242.8999999999996</v>
      </c>
    </row>
    <row r="48" spans="1:12" ht="15.75" x14ac:dyDescent="0.25">
      <c r="A48" s="3"/>
      <c r="B48" s="73"/>
      <c r="C48" s="16" t="s">
        <v>53</v>
      </c>
      <c r="D48" s="16" t="s">
        <v>54</v>
      </c>
      <c r="E48" s="62">
        <v>9980022100</v>
      </c>
      <c r="F48" s="16"/>
      <c r="G48" s="76" t="s">
        <v>79</v>
      </c>
      <c r="H48" s="113">
        <f>H49</f>
        <v>3242.8999999999996</v>
      </c>
      <c r="I48" s="113">
        <f t="shared" ref="I48:J48" si="7">I49</f>
        <v>3242.8999999999996</v>
      </c>
      <c r="J48" s="113">
        <f t="shared" si="7"/>
        <v>3242.8999999999996</v>
      </c>
    </row>
    <row r="49" spans="1:10" ht="39" x14ac:dyDescent="0.25">
      <c r="A49" s="3"/>
      <c r="B49" s="73"/>
      <c r="C49" s="16" t="s">
        <v>53</v>
      </c>
      <c r="D49" s="16" t="s">
        <v>54</v>
      </c>
      <c r="E49" s="62">
        <v>9980022100</v>
      </c>
      <c r="F49" s="16" t="s">
        <v>40</v>
      </c>
      <c r="G49" s="76" t="s">
        <v>47</v>
      </c>
      <c r="H49" s="113">
        <f>2701.1+541.8</f>
        <v>3242.8999999999996</v>
      </c>
      <c r="I49" s="113">
        <f t="shared" ref="I49:J49" si="8">2701.1+541.8</f>
        <v>3242.8999999999996</v>
      </c>
      <c r="J49" s="113">
        <f t="shared" si="8"/>
        <v>3242.8999999999996</v>
      </c>
    </row>
    <row r="50" spans="1:10" s="24" customFormat="1" ht="76.5" x14ac:dyDescent="0.2">
      <c r="A50" s="21"/>
      <c r="B50" s="22"/>
      <c r="C50" s="28" t="s">
        <v>53</v>
      </c>
      <c r="D50" s="28" t="s">
        <v>59</v>
      </c>
      <c r="E50" s="28"/>
      <c r="F50" s="28"/>
      <c r="G50" s="40" t="s">
        <v>89</v>
      </c>
      <c r="H50" s="160">
        <f>H51</f>
        <v>79900.899999999994</v>
      </c>
      <c r="I50" s="160">
        <f>I51</f>
        <v>79924.899999999994</v>
      </c>
      <c r="J50" s="160">
        <f>J51</f>
        <v>79929.099999999991</v>
      </c>
    </row>
    <row r="51" spans="1:10" ht="25.5" x14ac:dyDescent="0.2">
      <c r="A51" s="1"/>
      <c r="B51" s="23"/>
      <c r="C51" s="16" t="s">
        <v>53</v>
      </c>
      <c r="D51" s="16" t="s">
        <v>59</v>
      </c>
      <c r="E51" s="62">
        <v>9900000000</v>
      </c>
      <c r="F51" s="16"/>
      <c r="G51" s="48" t="s">
        <v>104</v>
      </c>
      <c r="H51" s="113">
        <f>H52+H56</f>
        <v>79900.899999999994</v>
      </c>
      <c r="I51" s="113">
        <f>I52+I56</f>
        <v>79924.899999999994</v>
      </c>
      <c r="J51" s="113">
        <f>J52+J56</f>
        <v>79929.099999999991</v>
      </c>
    </row>
    <row r="52" spans="1:10" ht="25.5" x14ac:dyDescent="0.2">
      <c r="A52" s="1"/>
      <c r="B52" s="23"/>
      <c r="C52" s="16" t="s">
        <v>53</v>
      </c>
      <c r="D52" s="16" t="s">
        <v>59</v>
      </c>
      <c r="E52" s="62">
        <v>9930000000</v>
      </c>
      <c r="F52" s="16"/>
      <c r="G52" s="20" t="s">
        <v>30</v>
      </c>
      <c r="H52" s="113">
        <f>H53</f>
        <v>673.80000000000007</v>
      </c>
      <c r="I52" s="113">
        <f>I53</f>
        <v>677.80000000000007</v>
      </c>
      <c r="J52" s="113">
        <f>J53</f>
        <v>682</v>
      </c>
    </row>
    <row r="53" spans="1:10" ht="63.75" x14ac:dyDescent="0.2">
      <c r="A53" s="1"/>
      <c r="B53" s="23"/>
      <c r="C53" s="16" t="s">
        <v>53</v>
      </c>
      <c r="D53" s="16" t="s">
        <v>59</v>
      </c>
      <c r="E53" s="62">
        <v>9930010510</v>
      </c>
      <c r="F53" s="16"/>
      <c r="G53" s="20" t="s">
        <v>13</v>
      </c>
      <c r="H53" s="113">
        <f>SUM(H54:H55)</f>
        <v>673.80000000000007</v>
      </c>
      <c r="I53" s="113">
        <f t="shared" ref="I53:J53" si="9">SUM(I54:I55)</f>
        <v>677.80000000000007</v>
      </c>
      <c r="J53" s="113">
        <f t="shared" si="9"/>
        <v>682</v>
      </c>
    </row>
    <row r="54" spans="1:10" ht="38.25" x14ac:dyDescent="0.2">
      <c r="A54" s="1"/>
      <c r="B54" s="23"/>
      <c r="C54" s="16" t="s">
        <v>53</v>
      </c>
      <c r="D54" s="16" t="s">
        <v>59</v>
      </c>
      <c r="E54" s="62">
        <v>9930010510</v>
      </c>
      <c r="F54" s="16" t="s">
        <v>40</v>
      </c>
      <c r="G54" s="77" t="s">
        <v>41</v>
      </c>
      <c r="H54" s="113">
        <f>626.7+47.1</f>
        <v>673.80000000000007</v>
      </c>
      <c r="I54" s="113">
        <v>626.70000000000005</v>
      </c>
      <c r="J54" s="113">
        <v>626.70000000000005</v>
      </c>
    </row>
    <row r="55" spans="1:10" ht="38.25" x14ac:dyDescent="0.2">
      <c r="A55" s="1"/>
      <c r="B55" s="23"/>
      <c r="C55" s="16" t="s">
        <v>53</v>
      </c>
      <c r="D55" s="16" t="s">
        <v>59</v>
      </c>
      <c r="E55" s="62">
        <v>9930010510</v>
      </c>
      <c r="F55" s="65" t="s">
        <v>119</v>
      </c>
      <c r="G55" s="75" t="s">
        <v>120</v>
      </c>
      <c r="H55" s="113">
        <f>47.1-47.1</f>
        <v>0</v>
      </c>
      <c r="I55" s="113">
        <v>51.1</v>
      </c>
      <c r="J55" s="113">
        <v>55.3</v>
      </c>
    </row>
    <row r="56" spans="1:10" ht="38.25" x14ac:dyDescent="0.2">
      <c r="A56" s="1"/>
      <c r="B56" s="23"/>
      <c r="C56" s="16" t="s">
        <v>53</v>
      </c>
      <c r="D56" s="16" t="s">
        <v>59</v>
      </c>
      <c r="E56" s="62">
        <v>9980000000</v>
      </c>
      <c r="F56" s="16"/>
      <c r="G56" s="47" t="s">
        <v>26</v>
      </c>
      <c r="H56" s="113">
        <f>H57</f>
        <v>79227.099999999991</v>
      </c>
      <c r="I56" s="113">
        <f>I57</f>
        <v>79247.099999999991</v>
      </c>
      <c r="J56" s="113">
        <f>J57</f>
        <v>79247.099999999991</v>
      </c>
    </row>
    <row r="57" spans="1:10" x14ac:dyDescent="0.2">
      <c r="A57" s="1"/>
      <c r="B57" s="23"/>
      <c r="C57" s="16" t="s">
        <v>53</v>
      </c>
      <c r="D57" s="16" t="s">
        <v>59</v>
      </c>
      <c r="E57" s="108">
        <v>9980022200</v>
      </c>
      <c r="F57" s="19"/>
      <c r="G57" s="76" t="s">
        <v>80</v>
      </c>
      <c r="H57" s="113">
        <f>SUM(H58:H59)</f>
        <v>79227.099999999991</v>
      </c>
      <c r="I57" s="113">
        <f>SUM(I58:I59)</f>
        <v>79247.099999999991</v>
      </c>
      <c r="J57" s="113">
        <f>SUM(J58:J59)</f>
        <v>79247.099999999991</v>
      </c>
    </row>
    <row r="58" spans="1:10" ht="38.25" x14ac:dyDescent="0.2">
      <c r="A58" s="1"/>
      <c r="B58" s="23"/>
      <c r="C58" s="16" t="s">
        <v>53</v>
      </c>
      <c r="D58" s="16" t="s">
        <v>59</v>
      </c>
      <c r="E58" s="108">
        <v>9980022200</v>
      </c>
      <c r="F58" s="16" t="s">
        <v>40</v>
      </c>
      <c r="G58" s="48" t="s">
        <v>41</v>
      </c>
      <c r="H58" s="113">
        <f>65191.7+11874.7</f>
        <v>77066.399999999994</v>
      </c>
      <c r="I58" s="113">
        <f t="shared" ref="I58:J58" si="10">65191.7+11874.7</f>
        <v>77066.399999999994</v>
      </c>
      <c r="J58" s="113">
        <f t="shared" si="10"/>
        <v>77066.399999999994</v>
      </c>
    </row>
    <row r="59" spans="1:10" ht="38.25" x14ac:dyDescent="0.2">
      <c r="A59" s="1"/>
      <c r="B59" s="23"/>
      <c r="C59" s="16" t="s">
        <v>53</v>
      </c>
      <c r="D59" s="16" t="s">
        <v>59</v>
      </c>
      <c r="E59" s="108">
        <v>9980022200</v>
      </c>
      <c r="F59" s="65" t="s">
        <v>119</v>
      </c>
      <c r="G59" s="75" t="s">
        <v>120</v>
      </c>
      <c r="H59" s="113">
        <f>2180.7-20</f>
        <v>2160.6999999999998</v>
      </c>
      <c r="I59" s="113">
        <v>2180.6999999999998</v>
      </c>
      <c r="J59" s="113">
        <v>2180.6999999999998</v>
      </c>
    </row>
    <row r="60" spans="1:10" ht="14.25" x14ac:dyDescent="0.2">
      <c r="A60" s="1"/>
      <c r="B60" s="23"/>
      <c r="C60" s="33" t="s">
        <v>53</v>
      </c>
      <c r="D60" s="33" t="s">
        <v>60</v>
      </c>
      <c r="E60" s="33"/>
      <c r="F60" s="33"/>
      <c r="G60" s="40" t="s">
        <v>135</v>
      </c>
      <c r="H60" s="161">
        <f>SUM(H61)</f>
        <v>96.5</v>
      </c>
      <c r="I60" s="161">
        <f>SUM(I61)</f>
        <v>9</v>
      </c>
      <c r="J60" s="161">
        <f>SUM(J61)</f>
        <v>9.5</v>
      </c>
    </row>
    <row r="61" spans="1:10" ht="25.5" x14ac:dyDescent="0.2">
      <c r="A61" s="1"/>
      <c r="B61" s="23"/>
      <c r="C61" s="16" t="s">
        <v>53</v>
      </c>
      <c r="D61" s="65" t="s">
        <v>60</v>
      </c>
      <c r="E61" s="62">
        <v>9900000000</v>
      </c>
      <c r="F61" s="16"/>
      <c r="G61" s="48" t="s">
        <v>105</v>
      </c>
      <c r="H61" s="113">
        <f t="shared" ref="H61:J63" si="11">H62</f>
        <v>96.5</v>
      </c>
      <c r="I61" s="113">
        <f t="shared" si="11"/>
        <v>9</v>
      </c>
      <c r="J61" s="113">
        <f t="shared" si="11"/>
        <v>9.5</v>
      </c>
    </row>
    <row r="62" spans="1:10" ht="25.5" x14ac:dyDescent="0.2">
      <c r="A62" s="1"/>
      <c r="B62" s="23"/>
      <c r="C62" s="16" t="s">
        <v>53</v>
      </c>
      <c r="D62" s="65" t="s">
        <v>60</v>
      </c>
      <c r="E62" s="62">
        <v>9930000000</v>
      </c>
      <c r="F62" s="16"/>
      <c r="G62" s="20" t="s">
        <v>30</v>
      </c>
      <c r="H62" s="113">
        <f t="shared" si="11"/>
        <v>96.5</v>
      </c>
      <c r="I62" s="113">
        <f t="shared" si="11"/>
        <v>9</v>
      </c>
      <c r="J62" s="113">
        <f t="shared" si="11"/>
        <v>9.5</v>
      </c>
    </row>
    <row r="63" spans="1:10" ht="63.75" x14ac:dyDescent="0.2">
      <c r="A63" s="1"/>
      <c r="B63" s="23"/>
      <c r="C63" s="16" t="s">
        <v>53</v>
      </c>
      <c r="D63" s="65" t="s">
        <v>60</v>
      </c>
      <c r="E63" s="62">
        <v>9930051200</v>
      </c>
      <c r="F63" s="16"/>
      <c r="G63" s="47" t="s">
        <v>131</v>
      </c>
      <c r="H63" s="157">
        <f t="shared" si="11"/>
        <v>96.5</v>
      </c>
      <c r="I63" s="113">
        <f t="shared" si="11"/>
        <v>9</v>
      </c>
      <c r="J63" s="113">
        <f t="shared" si="11"/>
        <v>9.5</v>
      </c>
    </row>
    <row r="64" spans="1:10" s="24" customFormat="1" ht="38.25" x14ac:dyDescent="0.2">
      <c r="A64" s="1"/>
      <c r="B64" s="23"/>
      <c r="C64" s="16" t="s">
        <v>53</v>
      </c>
      <c r="D64" s="65" t="s">
        <v>60</v>
      </c>
      <c r="E64" s="62">
        <v>9930051200</v>
      </c>
      <c r="F64" s="65" t="s">
        <v>119</v>
      </c>
      <c r="G64" s="75" t="s">
        <v>120</v>
      </c>
      <c r="H64" s="157">
        <v>96.5</v>
      </c>
      <c r="I64" s="157">
        <v>9</v>
      </c>
      <c r="J64" s="157">
        <v>9.5</v>
      </c>
    </row>
    <row r="65" spans="1:10" ht="19.5" customHeight="1" x14ac:dyDescent="0.2">
      <c r="A65" s="21"/>
      <c r="B65" s="22"/>
      <c r="C65" s="28" t="s">
        <v>53</v>
      </c>
      <c r="D65" s="28" t="s">
        <v>7</v>
      </c>
      <c r="E65" s="31"/>
      <c r="F65" s="31"/>
      <c r="G65" s="40" t="s">
        <v>62</v>
      </c>
      <c r="H65" s="160">
        <f>H66+H81</f>
        <v>99706.599999999991</v>
      </c>
      <c r="I65" s="160">
        <f t="shared" ref="I65:J65" si="12">I66+I81</f>
        <v>78793.3</v>
      </c>
      <c r="J65" s="160">
        <f t="shared" si="12"/>
        <v>73536.800000000003</v>
      </c>
    </row>
    <row r="66" spans="1:10" ht="102" customHeight="1" x14ac:dyDescent="0.2">
      <c r="A66" s="1"/>
      <c r="B66" s="23"/>
      <c r="C66" s="16" t="s">
        <v>53</v>
      </c>
      <c r="D66" s="16" t="s">
        <v>7</v>
      </c>
      <c r="E66" s="57" t="s">
        <v>45</v>
      </c>
      <c r="F66" s="16"/>
      <c r="G66" s="126" t="s">
        <v>206</v>
      </c>
      <c r="H66" s="86">
        <f>H67</f>
        <v>14025.399999999998</v>
      </c>
      <c r="I66" s="86">
        <f>I67</f>
        <v>12200.3</v>
      </c>
      <c r="J66" s="86">
        <f>J67</f>
        <v>6941.2999999999993</v>
      </c>
    </row>
    <row r="67" spans="1:10" ht="27.75" customHeight="1" x14ac:dyDescent="0.25">
      <c r="A67" s="1"/>
      <c r="B67" s="23"/>
      <c r="C67" s="16" t="s">
        <v>53</v>
      </c>
      <c r="D67" s="16" t="s">
        <v>7</v>
      </c>
      <c r="E67" s="137" t="s">
        <v>310</v>
      </c>
      <c r="F67" s="41"/>
      <c r="G67" s="125" t="s">
        <v>311</v>
      </c>
      <c r="H67" s="88">
        <f>H68+H70+H72+H74+H77+H79</f>
        <v>14025.399999999998</v>
      </c>
      <c r="I67" s="88">
        <f t="shared" ref="I67:J67" si="13">I68+I70+I72+I74+I77+I79</f>
        <v>12200.3</v>
      </c>
      <c r="J67" s="88">
        <f t="shared" si="13"/>
        <v>6941.2999999999993</v>
      </c>
    </row>
    <row r="68" spans="1:10" ht="41.25" customHeight="1" x14ac:dyDescent="0.2">
      <c r="A68" s="1"/>
      <c r="B68" s="23"/>
      <c r="C68" s="16" t="s">
        <v>53</v>
      </c>
      <c r="D68" s="16" t="s">
        <v>7</v>
      </c>
      <c r="E68" s="65" t="s">
        <v>312</v>
      </c>
      <c r="F68" s="16"/>
      <c r="G68" s="106" t="s">
        <v>363</v>
      </c>
      <c r="H68" s="82">
        <f>H69</f>
        <v>300</v>
      </c>
      <c r="I68" s="82">
        <f>I69</f>
        <v>200</v>
      </c>
      <c r="J68" s="82">
        <f>J69</f>
        <v>200</v>
      </c>
    </row>
    <row r="69" spans="1:10" ht="38.25" x14ac:dyDescent="0.2">
      <c r="A69" s="1"/>
      <c r="B69" s="23"/>
      <c r="C69" s="16" t="s">
        <v>53</v>
      </c>
      <c r="D69" s="16" t="s">
        <v>7</v>
      </c>
      <c r="E69" s="65" t="s">
        <v>312</v>
      </c>
      <c r="F69" s="65" t="s">
        <v>119</v>
      </c>
      <c r="G69" s="75" t="s">
        <v>120</v>
      </c>
      <c r="H69" s="82">
        <v>300</v>
      </c>
      <c r="I69" s="82">
        <v>200</v>
      </c>
      <c r="J69" s="82">
        <v>200</v>
      </c>
    </row>
    <row r="70" spans="1:10" ht="51" x14ac:dyDescent="0.2">
      <c r="A70" s="1"/>
      <c r="B70" s="23"/>
      <c r="C70" s="16" t="s">
        <v>53</v>
      </c>
      <c r="D70" s="16" t="s">
        <v>7</v>
      </c>
      <c r="E70" s="97" t="s">
        <v>313</v>
      </c>
      <c r="F70" s="16"/>
      <c r="G70" s="74" t="s">
        <v>360</v>
      </c>
      <c r="H70" s="82">
        <f>H71</f>
        <v>100</v>
      </c>
      <c r="I70" s="82">
        <f>I71</f>
        <v>100</v>
      </c>
      <c r="J70" s="82">
        <f>J71</f>
        <v>100</v>
      </c>
    </row>
    <row r="71" spans="1:10" ht="38.25" x14ac:dyDescent="0.2">
      <c r="A71" s="1"/>
      <c r="B71" s="23"/>
      <c r="C71" s="16" t="s">
        <v>53</v>
      </c>
      <c r="D71" s="16" t="s">
        <v>7</v>
      </c>
      <c r="E71" s="97" t="s">
        <v>313</v>
      </c>
      <c r="F71" s="65" t="s">
        <v>119</v>
      </c>
      <c r="G71" s="75" t="s">
        <v>120</v>
      </c>
      <c r="H71" s="82">
        <v>100</v>
      </c>
      <c r="I71" s="82">
        <v>100</v>
      </c>
      <c r="J71" s="82">
        <v>100</v>
      </c>
    </row>
    <row r="72" spans="1:10" ht="91.5" customHeight="1" x14ac:dyDescent="0.2">
      <c r="A72" s="1"/>
      <c r="B72" s="23"/>
      <c r="C72" s="16" t="s">
        <v>53</v>
      </c>
      <c r="D72" s="16" t="s">
        <v>7</v>
      </c>
      <c r="E72" s="97" t="s">
        <v>315</v>
      </c>
      <c r="F72" s="16"/>
      <c r="G72" s="74" t="s">
        <v>314</v>
      </c>
      <c r="H72" s="82">
        <f>H73</f>
        <v>291.39999999999998</v>
      </c>
      <c r="I72" s="82">
        <f>I73</f>
        <v>291.39999999999998</v>
      </c>
      <c r="J72" s="82">
        <f>J73</f>
        <v>291.39999999999998</v>
      </c>
    </row>
    <row r="73" spans="1:10" ht="38.25" x14ac:dyDescent="0.2">
      <c r="A73" s="1"/>
      <c r="B73" s="23"/>
      <c r="C73" s="16" t="s">
        <v>53</v>
      </c>
      <c r="D73" s="16" t="s">
        <v>7</v>
      </c>
      <c r="E73" s="97" t="s">
        <v>315</v>
      </c>
      <c r="F73" s="65" t="s">
        <v>119</v>
      </c>
      <c r="G73" s="75" t="s">
        <v>120</v>
      </c>
      <c r="H73" s="82">
        <v>291.39999999999998</v>
      </c>
      <c r="I73" s="82">
        <v>291.39999999999998</v>
      </c>
      <c r="J73" s="82">
        <v>291.39999999999998</v>
      </c>
    </row>
    <row r="74" spans="1:10" ht="41.25" customHeight="1" x14ac:dyDescent="0.2">
      <c r="A74" s="1"/>
      <c r="B74" s="23"/>
      <c r="C74" s="16" t="s">
        <v>53</v>
      </c>
      <c r="D74" s="16" t="s">
        <v>7</v>
      </c>
      <c r="E74" s="58">
        <v>350123180</v>
      </c>
      <c r="F74" s="16"/>
      <c r="G74" s="138" t="s">
        <v>364</v>
      </c>
      <c r="H74" s="82">
        <f>SUM(H75:H76)</f>
        <v>8091.9999999999982</v>
      </c>
      <c r="I74" s="82">
        <f t="shared" ref="I74:J74" si="14">SUM(I75:I76)</f>
        <v>11608.9</v>
      </c>
      <c r="J74" s="82">
        <f t="shared" si="14"/>
        <v>6349.9</v>
      </c>
    </row>
    <row r="75" spans="1:10" ht="38.25" x14ac:dyDescent="0.2">
      <c r="A75" s="1"/>
      <c r="B75" s="23"/>
      <c r="C75" s="16" t="s">
        <v>53</v>
      </c>
      <c r="D75" s="16" t="s">
        <v>7</v>
      </c>
      <c r="E75" s="58">
        <v>350123180</v>
      </c>
      <c r="F75" s="65" t="s">
        <v>119</v>
      </c>
      <c r="G75" s="75" t="s">
        <v>120</v>
      </c>
      <c r="H75" s="82">
        <f>6349.9+2060.5-100+221.3-289.6-150.1-19.8</f>
        <v>8072.199999999998</v>
      </c>
      <c r="I75" s="82">
        <v>11608.9</v>
      </c>
      <c r="J75" s="82">
        <v>6349.9</v>
      </c>
    </row>
    <row r="76" spans="1:10" ht="25.5" x14ac:dyDescent="0.2">
      <c r="A76" s="1"/>
      <c r="B76" s="23"/>
      <c r="C76" s="16" t="s">
        <v>53</v>
      </c>
      <c r="D76" s="16" t="s">
        <v>7</v>
      </c>
      <c r="E76" s="58">
        <v>350123180</v>
      </c>
      <c r="F76" s="65" t="s">
        <v>96</v>
      </c>
      <c r="G76" s="75" t="s">
        <v>97</v>
      </c>
      <c r="H76" s="82">
        <v>19.8</v>
      </c>
      <c r="I76" s="82">
        <v>0</v>
      </c>
      <c r="J76" s="82">
        <v>0</v>
      </c>
    </row>
    <row r="77" spans="1:10" ht="51" customHeight="1" x14ac:dyDescent="0.2">
      <c r="A77" s="1"/>
      <c r="B77" s="23"/>
      <c r="C77" s="16" t="s">
        <v>53</v>
      </c>
      <c r="D77" s="16" t="s">
        <v>7</v>
      </c>
      <c r="E77" s="19" t="s">
        <v>523</v>
      </c>
      <c r="F77" s="33"/>
      <c r="G77" s="74" t="s">
        <v>361</v>
      </c>
      <c r="H77" s="113">
        <f>H78</f>
        <v>892.4</v>
      </c>
      <c r="I77" s="113">
        <f>I78</f>
        <v>0</v>
      </c>
      <c r="J77" s="113">
        <f>J78</f>
        <v>0</v>
      </c>
    </row>
    <row r="78" spans="1:10" ht="38.25" x14ac:dyDescent="0.2">
      <c r="A78" s="1"/>
      <c r="B78" s="23"/>
      <c r="C78" s="16" t="s">
        <v>53</v>
      </c>
      <c r="D78" s="16" t="s">
        <v>7</v>
      </c>
      <c r="E78" s="19" t="s">
        <v>523</v>
      </c>
      <c r="F78" s="65" t="s">
        <v>119</v>
      </c>
      <c r="G78" s="75" t="s">
        <v>120</v>
      </c>
      <c r="H78" s="113">
        <f>1414.8-417.9-104.5</f>
        <v>892.4</v>
      </c>
      <c r="I78" s="113">
        <v>0</v>
      </c>
      <c r="J78" s="113">
        <v>0</v>
      </c>
    </row>
    <row r="79" spans="1:10" ht="70.150000000000006" customHeight="1" x14ac:dyDescent="0.2">
      <c r="A79" s="1"/>
      <c r="B79" s="23"/>
      <c r="C79" s="16" t="s">
        <v>53</v>
      </c>
      <c r="D79" s="16" t="s">
        <v>7</v>
      </c>
      <c r="E79" s="19" t="s">
        <v>524</v>
      </c>
      <c r="F79" s="33"/>
      <c r="G79" s="74" t="s">
        <v>362</v>
      </c>
      <c r="H79" s="82">
        <f>H80</f>
        <v>4349.6000000000004</v>
      </c>
      <c r="I79" s="82">
        <f>I80</f>
        <v>0</v>
      </c>
      <c r="J79" s="82">
        <f>J80</f>
        <v>0</v>
      </c>
    </row>
    <row r="80" spans="1:10" ht="38.25" x14ac:dyDescent="0.2">
      <c r="A80" s="1"/>
      <c r="B80" s="23"/>
      <c r="C80" s="16" t="s">
        <v>53</v>
      </c>
      <c r="D80" s="16" t="s">
        <v>7</v>
      </c>
      <c r="E80" s="19" t="s">
        <v>524</v>
      </c>
      <c r="F80" s="65" t="s">
        <v>119</v>
      </c>
      <c r="G80" s="75" t="s">
        <v>120</v>
      </c>
      <c r="H80" s="113">
        <f>8083.7-1984-1750.1</f>
        <v>4349.6000000000004</v>
      </c>
      <c r="I80" s="113">
        <v>0</v>
      </c>
      <c r="J80" s="113">
        <v>0</v>
      </c>
    </row>
    <row r="81" spans="1:10" ht="25.5" x14ac:dyDescent="0.2">
      <c r="A81" s="1"/>
      <c r="B81" s="23"/>
      <c r="C81" s="5" t="s">
        <v>53</v>
      </c>
      <c r="D81" s="5" t="s">
        <v>7</v>
      </c>
      <c r="E81" s="66">
        <v>9900000000</v>
      </c>
      <c r="F81" s="5"/>
      <c r="G81" s="67" t="s">
        <v>104</v>
      </c>
      <c r="H81" s="86">
        <f>H82+H86+H91</f>
        <v>85681.2</v>
      </c>
      <c r="I81" s="86">
        <f>I82+I86+I91</f>
        <v>66593</v>
      </c>
      <c r="J81" s="86">
        <f>J82+J86+J91</f>
        <v>66595.5</v>
      </c>
    </row>
    <row r="82" spans="1:10" ht="25.5" x14ac:dyDescent="0.2">
      <c r="A82" s="1"/>
      <c r="B82" s="23"/>
      <c r="C82" s="16" t="s">
        <v>53</v>
      </c>
      <c r="D82" s="16" t="s">
        <v>7</v>
      </c>
      <c r="E82" s="62">
        <v>9930000000</v>
      </c>
      <c r="F82" s="16"/>
      <c r="G82" s="20" t="s">
        <v>30</v>
      </c>
      <c r="H82" s="113">
        <f>H83</f>
        <v>491.4</v>
      </c>
      <c r="I82" s="113">
        <f>I83</f>
        <v>493.9</v>
      </c>
      <c r="J82" s="113">
        <f t="shared" ref="J82" si="15">J83</f>
        <v>496.4</v>
      </c>
    </row>
    <row r="83" spans="1:10" ht="38.25" x14ac:dyDescent="0.2">
      <c r="A83" s="1"/>
      <c r="B83" s="23"/>
      <c r="C83" s="16" t="s">
        <v>53</v>
      </c>
      <c r="D83" s="16" t="s">
        <v>7</v>
      </c>
      <c r="E83" s="62">
        <v>9930010540</v>
      </c>
      <c r="F83" s="16"/>
      <c r="G83" s="20" t="s">
        <v>14</v>
      </c>
      <c r="H83" s="113">
        <f>H84+H85</f>
        <v>491.4</v>
      </c>
      <c r="I83" s="113">
        <f>I84+I85</f>
        <v>493.9</v>
      </c>
      <c r="J83" s="113">
        <f t="shared" ref="J83" si="16">J84+J85</f>
        <v>496.4</v>
      </c>
    </row>
    <row r="84" spans="1:10" ht="38.25" x14ac:dyDescent="0.2">
      <c r="A84" s="1"/>
      <c r="B84" s="23"/>
      <c r="C84" s="16" t="s">
        <v>53</v>
      </c>
      <c r="D84" s="16" t="s">
        <v>7</v>
      </c>
      <c r="E84" s="62">
        <v>9930010540</v>
      </c>
      <c r="F84" s="16" t="s">
        <v>40</v>
      </c>
      <c r="G84" s="77" t="s">
        <v>41</v>
      </c>
      <c r="H84" s="113">
        <f>329.9+68</f>
        <v>397.9</v>
      </c>
      <c r="I84" s="113">
        <v>329.9</v>
      </c>
      <c r="J84" s="113">
        <v>329.9</v>
      </c>
    </row>
    <row r="85" spans="1:10" ht="38.25" x14ac:dyDescent="0.2">
      <c r="A85" s="1"/>
      <c r="B85" s="23"/>
      <c r="C85" s="16" t="s">
        <v>53</v>
      </c>
      <c r="D85" s="16" t="s">
        <v>7</v>
      </c>
      <c r="E85" s="62">
        <v>9930010540</v>
      </c>
      <c r="F85" s="65" t="s">
        <v>119</v>
      </c>
      <c r="G85" s="75" t="s">
        <v>120</v>
      </c>
      <c r="H85" s="113">
        <f>161.5-68</f>
        <v>93.5</v>
      </c>
      <c r="I85" s="113">
        <v>164</v>
      </c>
      <c r="J85" s="113">
        <v>166.5</v>
      </c>
    </row>
    <row r="86" spans="1:10" ht="38.25" x14ac:dyDescent="0.2">
      <c r="A86" s="1"/>
      <c r="B86" s="23"/>
      <c r="C86" s="16" t="s">
        <v>53</v>
      </c>
      <c r="D86" s="16" t="s">
        <v>7</v>
      </c>
      <c r="E86" s="16" t="s">
        <v>22</v>
      </c>
      <c r="F86" s="16"/>
      <c r="G86" s="76" t="s">
        <v>28</v>
      </c>
      <c r="H86" s="113">
        <f>H87</f>
        <v>11148.499999999998</v>
      </c>
      <c r="I86" s="113">
        <f t="shared" ref="I86:J86" si="17">I87</f>
        <v>1133.5999999999999</v>
      </c>
      <c r="J86" s="113">
        <f t="shared" si="17"/>
        <v>1133.5999999999999</v>
      </c>
    </row>
    <row r="87" spans="1:10" ht="25.5" x14ac:dyDescent="0.2">
      <c r="A87" s="1"/>
      <c r="B87" s="23"/>
      <c r="C87" s="16" t="s">
        <v>53</v>
      </c>
      <c r="D87" s="16" t="s">
        <v>7</v>
      </c>
      <c r="E87" s="65" t="s">
        <v>175</v>
      </c>
      <c r="F87" s="16"/>
      <c r="G87" s="76" t="s">
        <v>29</v>
      </c>
      <c r="H87" s="113">
        <f>SUM(H88:H90)</f>
        <v>11148.499999999998</v>
      </c>
      <c r="I87" s="113">
        <f>SUM(I88:I90)</f>
        <v>1133.5999999999999</v>
      </c>
      <c r="J87" s="113">
        <f>SUM(J88:J90)</f>
        <v>1133.5999999999999</v>
      </c>
    </row>
    <row r="88" spans="1:10" ht="38.25" x14ac:dyDescent="0.2">
      <c r="A88" s="1"/>
      <c r="B88" s="23"/>
      <c r="C88" s="16" t="s">
        <v>53</v>
      </c>
      <c r="D88" s="16" t="s">
        <v>7</v>
      </c>
      <c r="E88" s="65" t="s">
        <v>175</v>
      </c>
      <c r="F88" s="65" t="s">
        <v>119</v>
      </c>
      <c r="G88" s="75" t="s">
        <v>120</v>
      </c>
      <c r="H88" s="113">
        <f>391.6-5.3</f>
        <v>386.3</v>
      </c>
      <c r="I88" s="113">
        <v>391.6</v>
      </c>
      <c r="J88" s="113">
        <v>391.6</v>
      </c>
    </row>
    <row r="89" spans="1:10" x14ac:dyDescent="0.2">
      <c r="A89" s="1"/>
      <c r="B89" s="23"/>
      <c r="C89" s="16" t="s">
        <v>53</v>
      </c>
      <c r="D89" s="16" t="s">
        <v>7</v>
      </c>
      <c r="E89" s="65" t="s">
        <v>175</v>
      </c>
      <c r="F89" s="65" t="s">
        <v>587</v>
      </c>
      <c r="G89" s="75" t="s">
        <v>588</v>
      </c>
      <c r="H89" s="113">
        <f>120+167.7+71.3+20</f>
        <v>379</v>
      </c>
      <c r="I89" s="113">
        <v>0</v>
      </c>
      <c r="J89" s="113">
        <v>0</v>
      </c>
    </row>
    <row r="90" spans="1:10" ht="25.5" x14ac:dyDescent="0.2">
      <c r="A90" s="1"/>
      <c r="B90" s="23"/>
      <c r="C90" s="16" t="s">
        <v>53</v>
      </c>
      <c r="D90" s="16" t="s">
        <v>7</v>
      </c>
      <c r="E90" s="65" t="s">
        <v>175</v>
      </c>
      <c r="F90" s="65" t="s">
        <v>96</v>
      </c>
      <c r="G90" s="75" t="s">
        <v>97</v>
      </c>
      <c r="H90" s="113">
        <f>742+6506-66+50+1400-20+835.4+935.8</f>
        <v>10383.199999999999</v>
      </c>
      <c r="I90" s="113">
        <v>742</v>
      </c>
      <c r="J90" s="113">
        <v>742</v>
      </c>
    </row>
    <row r="91" spans="1:10" ht="25.5" x14ac:dyDescent="0.2">
      <c r="A91" s="1"/>
      <c r="B91" s="23"/>
      <c r="C91" s="16" t="s">
        <v>53</v>
      </c>
      <c r="D91" s="16" t="s">
        <v>7</v>
      </c>
      <c r="E91" s="65" t="s">
        <v>116</v>
      </c>
      <c r="F91" s="16"/>
      <c r="G91" s="76" t="s">
        <v>117</v>
      </c>
      <c r="H91" s="113">
        <f>H92+H95+H100</f>
        <v>74041.3</v>
      </c>
      <c r="I91" s="113">
        <f t="shared" ref="I91:J91" si="18">I92+I95+I100</f>
        <v>64965.5</v>
      </c>
      <c r="J91" s="113">
        <f t="shared" si="18"/>
        <v>64965.5</v>
      </c>
    </row>
    <row r="92" spans="1:10" ht="38.25" x14ac:dyDescent="0.2">
      <c r="A92" s="1"/>
      <c r="B92" s="23"/>
      <c r="C92" s="16" t="s">
        <v>53</v>
      </c>
      <c r="D92" s="16" t="s">
        <v>7</v>
      </c>
      <c r="E92" s="19" t="s">
        <v>176</v>
      </c>
      <c r="F92" s="41"/>
      <c r="G92" s="47" t="s">
        <v>132</v>
      </c>
      <c r="H92" s="82">
        <f>SUM(H93:H94)</f>
        <v>15058.1</v>
      </c>
      <c r="I92" s="82">
        <f>SUM(I93:I94)</f>
        <v>15122.5</v>
      </c>
      <c r="J92" s="82">
        <f>SUM(J93:J94)</f>
        <v>15122.5</v>
      </c>
    </row>
    <row r="93" spans="1:10" ht="25.5" x14ac:dyDescent="0.2">
      <c r="A93" s="1"/>
      <c r="B93" s="23"/>
      <c r="C93" s="16" t="s">
        <v>53</v>
      </c>
      <c r="D93" s="16" t="s">
        <v>7</v>
      </c>
      <c r="E93" s="19" t="s">
        <v>176</v>
      </c>
      <c r="F93" s="16" t="s">
        <v>42</v>
      </c>
      <c r="G93" s="77" t="s">
        <v>95</v>
      </c>
      <c r="H93" s="82">
        <f>11898.5+2405.5</f>
        <v>14304</v>
      </c>
      <c r="I93" s="82">
        <f t="shared" ref="I93:J93" si="19">11898.5+2405.5</f>
        <v>14304</v>
      </c>
      <c r="J93" s="82">
        <f t="shared" si="19"/>
        <v>14304</v>
      </c>
    </row>
    <row r="94" spans="1:10" ht="38.25" x14ac:dyDescent="0.2">
      <c r="A94" s="1"/>
      <c r="B94" s="23"/>
      <c r="C94" s="16" t="s">
        <v>53</v>
      </c>
      <c r="D94" s="16" t="s">
        <v>7</v>
      </c>
      <c r="E94" s="19" t="s">
        <v>176</v>
      </c>
      <c r="F94" s="65" t="s">
        <v>119</v>
      </c>
      <c r="G94" s="75" t="s">
        <v>120</v>
      </c>
      <c r="H94" s="82">
        <f>818.5-64.4</f>
        <v>754.1</v>
      </c>
      <c r="I94" s="82">
        <v>818.5</v>
      </c>
      <c r="J94" s="82">
        <v>818.5</v>
      </c>
    </row>
    <row r="95" spans="1:10" ht="51.75" customHeight="1" x14ac:dyDescent="0.2">
      <c r="A95" s="1"/>
      <c r="B95" s="23"/>
      <c r="C95" s="16" t="s">
        <v>53</v>
      </c>
      <c r="D95" s="16" t="s">
        <v>7</v>
      </c>
      <c r="E95" s="19" t="s">
        <v>178</v>
      </c>
      <c r="F95" s="41"/>
      <c r="G95" s="47" t="s">
        <v>177</v>
      </c>
      <c r="H95" s="82">
        <f>SUM(H96:H99)</f>
        <v>58953.2</v>
      </c>
      <c r="I95" s="82">
        <f>SUM(I96:I99)</f>
        <v>49843</v>
      </c>
      <c r="J95" s="82">
        <f>SUM(J96:J99)</f>
        <v>49843</v>
      </c>
    </row>
    <row r="96" spans="1:10" ht="25.5" x14ac:dyDescent="0.2">
      <c r="A96" s="1"/>
      <c r="B96" s="23"/>
      <c r="C96" s="16" t="s">
        <v>53</v>
      </c>
      <c r="D96" s="16" t="s">
        <v>7</v>
      </c>
      <c r="E96" s="19" t="s">
        <v>178</v>
      </c>
      <c r="F96" s="16" t="s">
        <v>42</v>
      </c>
      <c r="G96" s="77" t="s">
        <v>95</v>
      </c>
      <c r="H96" s="82">
        <f>13674+2210.9-105.5</f>
        <v>15779.4</v>
      </c>
      <c r="I96" s="82">
        <f t="shared" ref="I96:J96" si="20">13674+2210.9</f>
        <v>15884.9</v>
      </c>
      <c r="J96" s="82">
        <f t="shared" si="20"/>
        <v>15884.9</v>
      </c>
    </row>
    <row r="97" spans="1:10" ht="38.25" x14ac:dyDescent="0.2">
      <c r="A97" s="1"/>
      <c r="B97" s="23"/>
      <c r="C97" s="16" t="s">
        <v>53</v>
      </c>
      <c r="D97" s="16" t="s">
        <v>7</v>
      </c>
      <c r="E97" s="19" t="s">
        <v>178</v>
      </c>
      <c r="F97" s="65" t="s">
        <v>119</v>
      </c>
      <c r="G97" s="75" t="s">
        <v>120</v>
      </c>
      <c r="H97" s="82">
        <f>33878.1+137.5+5880+3092.7</f>
        <v>42988.299999999996</v>
      </c>
      <c r="I97" s="82">
        <v>33878.1</v>
      </c>
      <c r="J97" s="82">
        <v>33878.1</v>
      </c>
    </row>
    <row r="98" spans="1:10" ht="38.25" x14ac:dyDescent="0.2">
      <c r="A98" s="1"/>
      <c r="B98" s="23"/>
      <c r="C98" s="16" t="s">
        <v>53</v>
      </c>
      <c r="D98" s="16" t="s">
        <v>7</v>
      </c>
      <c r="E98" s="19" t="s">
        <v>178</v>
      </c>
      <c r="F98" s="65" t="s">
        <v>126</v>
      </c>
      <c r="G98" s="217" t="s">
        <v>125</v>
      </c>
      <c r="H98" s="215">
        <v>105.5</v>
      </c>
      <c r="I98" s="82">
        <v>0</v>
      </c>
      <c r="J98" s="82">
        <v>0</v>
      </c>
    </row>
    <row r="99" spans="1:10" ht="25.5" x14ac:dyDescent="0.2">
      <c r="A99" s="1"/>
      <c r="B99" s="23"/>
      <c r="C99" s="16" t="s">
        <v>53</v>
      </c>
      <c r="D99" s="16" t="s">
        <v>7</v>
      </c>
      <c r="E99" s="19" t="s">
        <v>178</v>
      </c>
      <c r="F99" s="65" t="s">
        <v>96</v>
      </c>
      <c r="G99" s="216" t="s">
        <v>97</v>
      </c>
      <c r="H99" s="82">
        <v>80</v>
      </c>
      <c r="I99" s="82">
        <v>80</v>
      </c>
      <c r="J99" s="82">
        <v>80</v>
      </c>
    </row>
    <row r="100" spans="1:10" ht="51" x14ac:dyDescent="0.2">
      <c r="A100" s="1"/>
      <c r="B100" s="23"/>
      <c r="C100" s="16" t="s">
        <v>53</v>
      </c>
      <c r="D100" s="16" t="s">
        <v>7</v>
      </c>
      <c r="E100" s="19" t="s">
        <v>556</v>
      </c>
      <c r="F100" s="65"/>
      <c r="G100" s="75" t="s">
        <v>552</v>
      </c>
      <c r="H100" s="82">
        <f>H101</f>
        <v>30</v>
      </c>
      <c r="I100" s="82">
        <f t="shared" ref="I100:J100" si="21">I101</f>
        <v>0</v>
      </c>
      <c r="J100" s="82">
        <f t="shared" si="21"/>
        <v>0</v>
      </c>
    </row>
    <row r="101" spans="1:10" ht="38.25" x14ac:dyDescent="0.2">
      <c r="A101" s="1"/>
      <c r="B101" s="23"/>
      <c r="C101" s="16" t="s">
        <v>53</v>
      </c>
      <c r="D101" s="16" t="s">
        <v>7</v>
      </c>
      <c r="E101" s="19" t="s">
        <v>556</v>
      </c>
      <c r="F101" s="65" t="s">
        <v>119</v>
      </c>
      <c r="G101" s="75" t="s">
        <v>120</v>
      </c>
      <c r="H101" s="82">
        <v>30</v>
      </c>
      <c r="I101" s="82">
        <v>0</v>
      </c>
      <c r="J101" s="82">
        <v>0</v>
      </c>
    </row>
    <row r="102" spans="1:10" ht="15.75" x14ac:dyDescent="0.25">
      <c r="A102" s="1"/>
      <c r="B102" s="23"/>
      <c r="C102" s="4" t="s">
        <v>54</v>
      </c>
      <c r="D102" s="16"/>
      <c r="E102" s="19"/>
      <c r="F102" s="65"/>
      <c r="G102" s="144" t="s">
        <v>374</v>
      </c>
      <c r="H102" s="86">
        <f>H103</f>
        <v>595.6</v>
      </c>
      <c r="I102" s="86">
        <f t="shared" ref="I102:J105" si="22">I103</f>
        <v>660.1</v>
      </c>
      <c r="J102" s="86">
        <f t="shared" si="22"/>
        <v>830.1</v>
      </c>
    </row>
    <row r="103" spans="1:10" ht="25.5" x14ac:dyDescent="0.2">
      <c r="A103" s="1"/>
      <c r="B103" s="23"/>
      <c r="C103" s="41" t="s">
        <v>54</v>
      </c>
      <c r="D103" s="41" t="s">
        <v>58</v>
      </c>
      <c r="E103" s="46"/>
      <c r="F103" s="41"/>
      <c r="G103" s="51" t="s">
        <v>375</v>
      </c>
      <c r="H103" s="82">
        <f>H104</f>
        <v>595.6</v>
      </c>
      <c r="I103" s="82">
        <f t="shared" si="22"/>
        <v>660.1</v>
      </c>
      <c r="J103" s="82">
        <f t="shared" si="22"/>
        <v>830.1</v>
      </c>
    </row>
    <row r="104" spans="1:10" ht="25.5" x14ac:dyDescent="0.2">
      <c r="A104" s="1"/>
      <c r="B104" s="23"/>
      <c r="C104" s="65" t="s">
        <v>54</v>
      </c>
      <c r="D104" s="65" t="s">
        <v>58</v>
      </c>
      <c r="E104" s="62">
        <v>9900000000</v>
      </c>
      <c r="F104" s="32"/>
      <c r="G104" s="48" t="s">
        <v>104</v>
      </c>
      <c r="H104" s="82">
        <f>H105</f>
        <v>595.6</v>
      </c>
      <c r="I104" s="82">
        <f t="shared" si="22"/>
        <v>660.1</v>
      </c>
      <c r="J104" s="82">
        <f t="shared" si="22"/>
        <v>830.1</v>
      </c>
    </row>
    <row r="105" spans="1:10" ht="25.5" x14ac:dyDescent="0.2">
      <c r="A105" s="1"/>
      <c r="B105" s="23"/>
      <c r="C105" s="65" t="s">
        <v>54</v>
      </c>
      <c r="D105" s="65" t="s">
        <v>58</v>
      </c>
      <c r="E105" s="62">
        <v>9930000000</v>
      </c>
      <c r="F105" s="16"/>
      <c r="G105" s="20" t="s">
        <v>30</v>
      </c>
      <c r="H105" s="82">
        <f>H106</f>
        <v>595.6</v>
      </c>
      <c r="I105" s="82">
        <f t="shared" si="22"/>
        <v>660.1</v>
      </c>
      <c r="J105" s="82">
        <f t="shared" si="22"/>
        <v>830.1</v>
      </c>
    </row>
    <row r="106" spans="1:10" ht="25.5" x14ac:dyDescent="0.2">
      <c r="A106" s="1"/>
      <c r="B106" s="23"/>
      <c r="C106" s="65" t="s">
        <v>54</v>
      </c>
      <c r="D106" s="65" t="s">
        <v>58</v>
      </c>
      <c r="E106" s="62">
        <v>9930051180</v>
      </c>
      <c r="F106" s="16"/>
      <c r="G106" s="76" t="s">
        <v>376</v>
      </c>
      <c r="H106" s="82">
        <f>H107+H108</f>
        <v>595.6</v>
      </c>
      <c r="I106" s="82">
        <f t="shared" ref="I106:J106" si="23">I107+I108</f>
        <v>660.1</v>
      </c>
      <c r="J106" s="82">
        <f t="shared" si="23"/>
        <v>830.1</v>
      </c>
    </row>
    <row r="107" spans="1:10" ht="38.25" x14ac:dyDescent="0.2">
      <c r="A107" s="1"/>
      <c r="B107" s="23"/>
      <c r="C107" s="65" t="s">
        <v>54</v>
      </c>
      <c r="D107" s="65" t="s">
        <v>58</v>
      </c>
      <c r="E107" s="62">
        <v>9930051180</v>
      </c>
      <c r="F107" s="16" t="s">
        <v>40</v>
      </c>
      <c r="G107" s="77" t="s">
        <v>41</v>
      </c>
      <c r="H107" s="82">
        <f>498.1+97.5</f>
        <v>595.6</v>
      </c>
      <c r="I107" s="82">
        <v>562.6</v>
      </c>
      <c r="J107" s="82">
        <v>732.6</v>
      </c>
    </row>
    <row r="108" spans="1:10" ht="38.25" x14ac:dyDescent="0.2">
      <c r="A108" s="1"/>
      <c r="B108" s="23"/>
      <c r="C108" s="65" t="s">
        <v>54</v>
      </c>
      <c r="D108" s="65" t="s">
        <v>58</v>
      </c>
      <c r="E108" s="62">
        <v>9930051180</v>
      </c>
      <c r="F108" s="65" t="s">
        <v>119</v>
      </c>
      <c r="G108" s="75" t="s">
        <v>120</v>
      </c>
      <c r="H108" s="82">
        <f>97.5-97.5</f>
        <v>0</v>
      </c>
      <c r="I108" s="82">
        <v>97.5</v>
      </c>
      <c r="J108" s="82">
        <v>97.5</v>
      </c>
    </row>
    <row r="109" spans="1:10" ht="45" x14ac:dyDescent="0.25">
      <c r="A109" s="3"/>
      <c r="B109" s="73"/>
      <c r="C109" s="4" t="s">
        <v>58</v>
      </c>
      <c r="D109" s="3"/>
      <c r="E109" s="3"/>
      <c r="F109" s="3"/>
      <c r="G109" s="43" t="s">
        <v>63</v>
      </c>
      <c r="H109" s="156">
        <f>H110+H115+H138</f>
        <v>20024.400000000001</v>
      </c>
      <c r="I109" s="156">
        <f>I110+I115+I138</f>
        <v>13097.1</v>
      </c>
      <c r="J109" s="156">
        <f>J110+J115+J138</f>
        <v>13097.1</v>
      </c>
    </row>
    <row r="110" spans="1:10" ht="15.75" x14ac:dyDescent="0.25">
      <c r="A110" s="3"/>
      <c r="B110" s="73"/>
      <c r="C110" s="26" t="s">
        <v>58</v>
      </c>
      <c r="D110" s="26" t="s">
        <v>59</v>
      </c>
      <c r="E110" s="26"/>
      <c r="F110" s="32"/>
      <c r="G110" s="40" t="s">
        <v>16</v>
      </c>
      <c r="H110" s="160">
        <f t="shared" ref="H110:J110" si="24">H113</f>
        <v>1705.2</v>
      </c>
      <c r="I110" s="160">
        <f t="shared" si="24"/>
        <v>1705.2</v>
      </c>
      <c r="J110" s="160">
        <f t="shared" si="24"/>
        <v>1705.2</v>
      </c>
    </row>
    <row r="111" spans="1:10" ht="25.5" x14ac:dyDescent="0.25">
      <c r="A111" s="3"/>
      <c r="B111" s="73"/>
      <c r="C111" s="16" t="s">
        <v>58</v>
      </c>
      <c r="D111" s="16" t="s">
        <v>59</v>
      </c>
      <c r="E111" s="62">
        <v>9900000000</v>
      </c>
      <c r="F111" s="32"/>
      <c r="G111" s="48" t="s">
        <v>104</v>
      </c>
      <c r="H111" s="82">
        <f t="shared" ref="H111:J112" si="25">H112</f>
        <v>1705.2</v>
      </c>
      <c r="I111" s="82">
        <f t="shared" si="25"/>
        <v>1705.2</v>
      </c>
      <c r="J111" s="82">
        <f t="shared" si="25"/>
        <v>1705.2</v>
      </c>
    </row>
    <row r="112" spans="1:10" ht="26.25" x14ac:dyDescent="0.25">
      <c r="A112" s="3"/>
      <c r="B112" s="73"/>
      <c r="C112" s="16" t="s">
        <v>58</v>
      </c>
      <c r="D112" s="16" t="s">
        <v>59</v>
      </c>
      <c r="E112" s="62">
        <v>9930000000</v>
      </c>
      <c r="F112" s="16"/>
      <c r="G112" s="20" t="s">
        <v>30</v>
      </c>
      <c r="H112" s="82">
        <f t="shared" si="25"/>
        <v>1705.2</v>
      </c>
      <c r="I112" s="82">
        <f t="shared" si="25"/>
        <v>1705.2</v>
      </c>
      <c r="J112" s="82">
        <f t="shared" si="25"/>
        <v>1705.2</v>
      </c>
    </row>
    <row r="113" spans="1:10" ht="51.75" x14ac:dyDescent="0.25">
      <c r="A113" s="3"/>
      <c r="B113" s="73"/>
      <c r="C113" s="16" t="s">
        <v>58</v>
      </c>
      <c r="D113" s="16" t="s">
        <v>59</v>
      </c>
      <c r="E113" s="62">
        <v>9930059302</v>
      </c>
      <c r="F113" s="16"/>
      <c r="G113" s="76" t="s">
        <v>153</v>
      </c>
      <c r="H113" s="113">
        <f>SUM(H114:H114)</f>
        <v>1705.2</v>
      </c>
      <c r="I113" s="113">
        <f>SUM(I114:I114)</f>
        <v>1705.2</v>
      </c>
      <c r="J113" s="113">
        <f>SUM(J114:J114)</f>
        <v>1705.2</v>
      </c>
    </row>
    <row r="114" spans="1:10" ht="38.25" x14ac:dyDescent="0.25">
      <c r="A114" s="3"/>
      <c r="B114" s="73"/>
      <c r="C114" s="16" t="s">
        <v>58</v>
      </c>
      <c r="D114" s="16" t="s">
        <v>59</v>
      </c>
      <c r="E114" s="62">
        <v>9930059302</v>
      </c>
      <c r="F114" s="16" t="s">
        <v>40</v>
      </c>
      <c r="G114" s="48" t="s">
        <v>41</v>
      </c>
      <c r="H114" s="113">
        <v>1705.2</v>
      </c>
      <c r="I114" s="113">
        <v>1705.2</v>
      </c>
      <c r="J114" s="113">
        <v>1705.2</v>
      </c>
    </row>
    <row r="115" spans="1:10" ht="51.75" x14ac:dyDescent="0.25">
      <c r="A115" s="3"/>
      <c r="B115" s="73"/>
      <c r="C115" s="26" t="s">
        <v>58</v>
      </c>
      <c r="D115" s="26" t="s">
        <v>75</v>
      </c>
      <c r="E115" s="26"/>
      <c r="F115" s="32"/>
      <c r="G115" s="40" t="s">
        <v>91</v>
      </c>
      <c r="H115" s="160">
        <f>H116+H129</f>
        <v>18249.2</v>
      </c>
      <c r="I115" s="160">
        <f t="shared" ref="I115:J115" si="26">I116+I129</f>
        <v>11321.9</v>
      </c>
      <c r="J115" s="160">
        <f t="shared" si="26"/>
        <v>11321.9</v>
      </c>
    </row>
    <row r="116" spans="1:10" ht="102" x14ac:dyDescent="0.25">
      <c r="A116" s="3"/>
      <c r="B116" s="73"/>
      <c r="C116" s="19" t="s">
        <v>58</v>
      </c>
      <c r="D116" s="19" t="s">
        <v>75</v>
      </c>
      <c r="E116" s="57" t="s">
        <v>44</v>
      </c>
      <c r="F116" s="16"/>
      <c r="G116" s="115" t="s">
        <v>212</v>
      </c>
      <c r="H116" s="158">
        <f>H117</f>
        <v>5607.7</v>
      </c>
      <c r="I116" s="158">
        <f t="shared" ref="I116:J116" si="27">I117</f>
        <v>1495</v>
      </c>
      <c r="J116" s="158">
        <f t="shared" si="27"/>
        <v>1495</v>
      </c>
    </row>
    <row r="117" spans="1:10" ht="19.899999999999999" customHeight="1" x14ac:dyDescent="0.25">
      <c r="A117" s="3"/>
      <c r="B117" s="73"/>
      <c r="C117" s="19" t="s">
        <v>58</v>
      </c>
      <c r="D117" s="19" t="s">
        <v>75</v>
      </c>
      <c r="E117" s="46" t="s">
        <v>368</v>
      </c>
      <c r="F117" s="16"/>
      <c r="G117" s="42" t="s">
        <v>307</v>
      </c>
      <c r="H117" s="88">
        <f>H118+H120+H122+H125+H127</f>
        <v>5607.7</v>
      </c>
      <c r="I117" s="88">
        <f t="shared" ref="I117:J117" si="28">I118+I120+I122+I125+I127</f>
        <v>1495</v>
      </c>
      <c r="J117" s="88">
        <f t="shared" si="28"/>
        <v>1495</v>
      </c>
    </row>
    <row r="118" spans="1:10" ht="52.15" customHeight="1" x14ac:dyDescent="0.25">
      <c r="A118" s="3"/>
      <c r="B118" s="73"/>
      <c r="C118" s="19" t="s">
        <v>58</v>
      </c>
      <c r="D118" s="19" t="s">
        <v>75</v>
      </c>
      <c r="E118" s="58">
        <v>950123410</v>
      </c>
      <c r="F118" s="16"/>
      <c r="G118" s="76" t="s">
        <v>367</v>
      </c>
      <c r="H118" s="113">
        <f>H119</f>
        <v>486.4</v>
      </c>
      <c r="I118" s="113">
        <f>I119</f>
        <v>40</v>
      </c>
      <c r="J118" s="113">
        <f>J119</f>
        <v>40</v>
      </c>
    </row>
    <row r="119" spans="1:10" ht="38.25" x14ac:dyDescent="0.25">
      <c r="A119" s="3"/>
      <c r="B119" s="73"/>
      <c r="C119" s="19" t="s">
        <v>58</v>
      </c>
      <c r="D119" s="19" t="s">
        <v>75</v>
      </c>
      <c r="E119" s="58">
        <v>950123410</v>
      </c>
      <c r="F119" s="65" t="s">
        <v>119</v>
      </c>
      <c r="G119" s="75" t="s">
        <v>120</v>
      </c>
      <c r="H119" s="113">
        <f>40+446.4</f>
        <v>486.4</v>
      </c>
      <c r="I119" s="113">
        <v>40</v>
      </c>
      <c r="J119" s="113">
        <v>40</v>
      </c>
    </row>
    <row r="120" spans="1:10" ht="56.45" customHeight="1" x14ac:dyDescent="0.25">
      <c r="A120" s="3"/>
      <c r="B120" s="73"/>
      <c r="C120" s="19" t="s">
        <v>58</v>
      </c>
      <c r="D120" s="19" t="s">
        <v>75</v>
      </c>
      <c r="E120" s="58">
        <v>950123420</v>
      </c>
      <c r="F120" s="16"/>
      <c r="G120" s="76" t="s">
        <v>369</v>
      </c>
      <c r="H120" s="82">
        <f>H121</f>
        <v>462.8</v>
      </c>
      <c r="I120" s="82">
        <f>I121</f>
        <v>40</v>
      </c>
      <c r="J120" s="82">
        <f>J121</f>
        <v>40</v>
      </c>
    </row>
    <row r="121" spans="1:10" ht="38.25" x14ac:dyDescent="0.25">
      <c r="A121" s="3"/>
      <c r="B121" s="73"/>
      <c r="C121" s="19" t="s">
        <v>58</v>
      </c>
      <c r="D121" s="19" t="s">
        <v>75</v>
      </c>
      <c r="E121" s="58">
        <v>950123420</v>
      </c>
      <c r="F121" s="65" t="s">
        <v>119</v>
      </c>
      <c r="G121" s="75" t="s">
        <v>120</v>
      </c>
      <c r="H121" s="113">
        <f>122+340.8</f>
        <v>462.8</v>
      </c>
      <c r="I121" s="113">
        <v>40</v>
      </c>
      <c r="J121" s="113">
        <v>40</v>
      </c>
    </row>
    <row r="122" spans="1:10" ht="57" customHeight="1" x14ac:dyDescent="0.25">
      <c r="A122" s="3"/>
      <c r="B122" s="73"/>
      <c r="C122" s="19" t="s">
        <v>58</v>
      </c>
      <c r="D122" s="19" t="s">
        <v>75</v>
      </c>
      <c r="E122" s="58">
        <v>950123430</v>
      </c>
      <c r="F122" s="16"/>
      <c r="G122" s="75" t="s">
        <v>370</v>
      </c>
      <c r="H122" s="82">
        <f>SUM(H123:H124)</f>
        <v>4643.5</v>
      </c>
      <c r="I122" s="82">
        <f>SUM(I123:I124)</f>
        <v>1400</v>
      </c>
      <c r="J122" s="82">
        <f>SUM(J123:J124)</f>
        <v>1400</v>
      </c>
    </row>
    <row r="123" spans="1:10" ht="25.5" x14ac:dyDescent="0.25">
      <c r="A123" s="3"/>
      <c r="B123" s="73"/>
      <c r="C123" s="19" t="s">
        <v>58</v>
      </c>
      <c r="D123" s="19" t="s">
        <v>75</v>
      </c>
      <c r="E123" s="58">
        <v>950123430</v>
      </c>
      <c r="F123" s="65" t="s">
        <v>42</v>
      </c>
      <c r="G123" s="48" t="s">
        <v>95</v>
      </c>
      <c r="H123" s="82">
        <v>118</v>
      </c>
      <c r="I123" s="82">
        <v>51.2</v>
      </c>
      <c r="J123" s="82">
        <v>51.2</v>
      </c>
    </row>
    <row r="124" spans="1:10" ht="38.25" x14ac:dyDescent="0.25">
      <c r="A124" s="3"/>
      <c r="B124" s="73"/>
      <c r="C124" s="19" t="s">
        <v>58</v>
      </c>
      <c r="D124" s="19" t="s">
        <v>75</v>
      </c>
      <c r="E124" s="58">
        <v>950123430</v>
      </c>
      <c r="F124" s="65" t="s">
        <v>119</v>
      </c>
      <c r="G124" s="75" t="s">
        <v>120</v>
      </c>
      <c r="H124" s="82">
        <f>4815.5-290</f>
        <v>4525.5</v>
      </c>
      <c r="I124" s="82">
        <v>1348.8</v>
      </c>
      <c r="J124" s="82">
        <v>1348.8</v>
      </c>
    </row>
    <row r="125" spans="1:10" ht="25.9" customHeight="1" x14ac:dyDescent="0.25">
      <c r="A125" s="3"/>
      <c r="B125" s="73"/>
      <c r="C125" s="19" t="s">
        <v>58</v>
      </c>
      <c r="D125" s="19" t="s">
        <v>75</v>
      </c>
      <c r="E125" s="58">
        <v>950123300</v>
      </c>
      <c r="F125" s="16"/>
      <c r="G125" s="75" t="s">
        <v>302</v>
      </c>
      <c r="H125" s="82">
        <f>H126</f>
        <v>12</v>
      </c>
      <c r="I125" s="82">
        <f>I126</f>
        <v>12</v>
      </c>
      <c r="J125" s="82">
        <f>J126</f>
        <v>12</v>
      </c>
    </row>
    <row r="126" spans="1:10" ht="38.25" x14ac:dyDescent="0.25">
      <c r="A126" s="3"/>
      <c r="B126" s="73"/>
      <c r="C126" s="19" t="s">
        <v>58</v>
      </c>
      <c r="D126" s="19" t="s">
        <v>75</v>
      </c>
      <c r="E126" s="58">
        <v>950123300</v>
      </c>
      <c r="F126" s="65" t="s">
        <v>119</v>
      </c>
      <c r="G126" s="75" t="s">
        <v>120</v>
      </c>
      <c r="H126" s="82">
        <v>12</v>
      </c>
      <c r="I126" s="82">
        <v>12</v>
      </c>
      <c r="J126" s="82">
        <v>12</v>
      </c>
    </row>
    <row r="127" spans="1:10" ht="39" customHeight="1" x14ac:dyDescent="0.25">
      <c r="A127" s="3"/>
      <c r="B127" s="73"/>
      <c r="C127" s="19" t="s">
        <v>58</v>
      </c>
      <c r="D127" s="19" t="s">
        <v>75</v>
      </c>
      <c r="E127" s="58">
        <v>950123440</v>
      </c>
      <c r="F127" s="16"/>
      <c r="G127" s="75" t="s">
        <v>371</v>
      </c>
      <c r="H127" s="82">
        <f>H128</f>
        <v>3</v>
      </c>
      <c r="I127" s="82">
        <f>I128</f>
        <v>3</v>
      </c>
      <c r="J127" s="82">
        <f>J128</f>
        <v>3</v>
      </c>
    </row>
    <row r="128" spans="1:10" ht="38.25" x14ac:dyDescent="0.25">
      <c r="A128" s="3"/>
      <c r="B128" s="73"/>
      <c r="C128" s="19" t="s">
        <v>58</v>
      </c>
      <c r="D128" s="19" t="s">
        <v>75</v>
      </c>
      <c r="E128" s="58">
        <v>950123440</v>
      </c>
      <c r="F128" s="65" t="s">
        <v>119</v>
      </c>
      <c r="G128" s="75" t="s">
        <v>120</v>
      </c>
      <c r="H128" s="82">
        <v>3</v>
      </c>
      <c r="I128" s="82">
        <v>3</v>
      </c>
      <c r="J128" s="82">
        <v>3</v>
      </c>
    </row>
    <row r="129" spans="1:10" s="30" customFormat="1" ht="25.5" x14ac:dyDescent="0.25">
      <c r="A129" s="3"/>
      <c r="B129" s="73"/>
      <c r="C129" s="57" t="s">
        <v>58</v>
      </c>
      <c r="D129" s="57" t="s">
        <v>75</v>
      </c>
      <c r="E129" s="66">
        <v>9900000000</v>
      </c>
      <c r="F129" s="143"/>
      <c r="G129" s="67" t="s">
        <v>104</v>
      </c>
      <c r="H129" s="86">
        <f>H130+H133</f>
        <v>12641.500000000002</v>
      </c>
      <c r="I129" s="86">
        <f t="shared" ref="I129:J129" si="29">I130+I133</f>
        <v>9826.9</v>
      </c>
      <c r="J129" s="86">
        <f t="shared" si="29"/>
        <v>9826.9</v>
      </c>
    </row>
    <row r="130" spans="1:10" s="30" customFormat="1" ht="15.75" x14ac:dyDescent="0.25">
      <c r="A130" s="3"/>
      <c r="B130" s="73"/>
      <c r="C130" s="19" t="s">
        <v>58</v>
      </c>
      <c r="D130" s="19" t="s">
        <v>75</v>
      </c>
      <c r="E130" s="62">
        <v>9920000000</v>
      </c>
      <c r="F130" s="33"/>
      <c r="G130" s="93" t="s">
        <v>3</v>
      </c>
      <c r="H130" s="162">
        <f t="shared" ref="H130:J131" si="30">H131</f>
        <v>814.6</v>
      </c>
      <c r="I130" s="162">
        <f t="shared" si="30"/>
        <v>0</v>
      </c>
      <c r="J130" s="162">
        <f t="shared" si="30"/>
        <v>0</v>
      </c>
    </row>
    <row r="131" spans="1:10" s="30" customFormat="1" ht="26.25" x14ac:dyDescent="0.25">
      <c r="A131" s="3"/>
      <c r="B131" s="73"/>
      <c r="C131" s="19" t="s">
        <v>58</v>
      </c>
      <c r="D131" s="19" t="s">
        <v>75</v>
      </c>
      <c r="E131" s="62">
        <v>9920026100</v>
      </c>
      <c r="F131" s="19"/>
      <c r="G131" s="76" t="s">
        <v>9</v>
      </c>
      <c r="H131" s="113">
        <f t="shared" si="30"/>
        <v>814.6</v>
      </c>
      <c r="I131" s="113">
        <f t="shared" si="30"/>
        <v>0</v>
      </c>
      <c r="J131" s="113">
        <f t="shared" si="30"/>
        <v>0</v>
      </c>
    </row>
    <row r="132" spans="1:10" s="30" customFormat="1" ht="38.25" x14ac:dyDescent="0.25">
      <c r="A132" s="3"/>
      <c r="B132" s="73"/>
      <c r="C132" s="19" t="s">
        <v>58</v>
      </c>
      <c r="D132" s="19" t="s">
        <v>75</v>
      </c>
      <c r="E132" s="62">
        <v>9920026100</v>
      </c>
      <c r="F132" s="65" t="s">
        <v>119</v>
      </c>
      <c r="G132" s="75" t="s">
        <v>120</v>
      </c>
      <c r="H132" s="113">
        <f>709.6+65+40</f>
        <v>814.6</v>
      </c>
      <c r="I132" s="113">
        <v>0</v>
      </c>
      <c r="J132" s="113">
        <v>0</v>
      </c>
    </row>
    <row r="133" spans="1:10" s="30" customFormat="1" ht="26.25" x14ac:dyDescent="0.25">
      <c r="A133" s="3"/>
      <c r="B133" s="73"/>
      <c r="C133" s="19" t="s">
        <v>58</v>
      </c>
      <c r="D133" s="19" t="s">
        <v>75</v>
      </c>
      <c r="E133" s="65" t="s">
        <v>116</v>
      </c>
      <c r="F133" s="16"/>
      <c r="G133" s="76" t="s">
        <v>117</v>
      </c>
      <c r="H133" s="88">
        <f>H134</f>
        <v>11826.900000000001</v>
      </c>
      <c r="I133" s="88">
        <f t="shared" ref="I133:J133" si="31">I134</f>
        <v>9826.9</v>
      </c>
      <c r="J133" s="88">
        <f t="shared" si="31"/>
        <v>9826.9</v>
      </c>
    </row>
    <row r="134" spans="1:10" s="30" customFormat="1" ht="51" x14ac:dyDescent="0.25">
      <c r="A134" s="3"/>
      <c r="B134" s="73"/>
      <c r="C134" s="19" t="s">
        <v>58</v>
      </c>
      <c r="D134" s="19" t="s">
        <v>75</v>
      </c>
      <c r="E134" s="19" t="s">
        <v>373</v>
      </c>
      <c r="F134" s="41"/>
      <c r="G134" s="47" t="s">
        <v>372</v>
      </c>
      <c r="H134" s="82">
        <f>SUM(H135:H137)</f>
        <v>11826.900000000001</v>
      </c>
      <c r="I134" s="82">
        <f t="shared" ref="I134:J134" si="32">SUM(I135:I137)</f>
        <v>9826.9</v>
      </c>
      <c r="J134" s="82">
        <f t="shared" si="32"/>
        <v>9826.9</v>
      </c>
    </row>
    <row r="135" spans="1:10" s="30" customFormat="1" ht="25.5" x14ac:dyDescent="0.25">
      <c r="A135" s="3"/>
      <c r="B135" s="73"/>
      <c r="C135" s="19" t="s">
        <v>58</v>
      </c>
      <c r="D135" s="19" t="s">
        <v>75</v>
      </c>
      <c r="E135" s="19" t="s">
        <v>373</v>
      </c>
      <c r="F135" s="16" t="s">
        <v>42</v>
      </c>
      <c r="G135" s="77" t="s">
        <v>95</v>
      </c>
      <c r="H135" s="82">
        <f>7907.4+1207-10+10</f>
        <v>9114.4</v>
      </c>
      <c r="I135" s="82">
        <f t="shared" ref="I135:J135" si="33">7907.4+1207</f>
        <v>9114.4</v>
      </c>
      <c r="J135" s="82">
        <f t="shared" si="33"/>
        <v>9114.4</v>
      </c>
    </row>
    <row r="136" spans="1:10" s="30" customFormat="1" ht="38.25" x14ac:dyDescent="0.25">
      <c r="A136" s="3"/>
      <c r="B136" s="73"/>
      <c r="C136" s="19" t="s">
        <v>58</v>
      </c>
      <c r="D136" s="19" t="s">
        <v>75</v>
      </c>
      <c r="E136" s="19" t="s">
        <v>373</v>
      </c>
      <c r="F136" s="65" t="s">
        <v>119</v>
      </c>
      <c r="G136" s="75" t="s">
        <v>120</v>
      </c>
      <c r="H136" s="82">
        <f>712.5+2000-72.7-10</f>
        <v>2629.8</v>
      </c>
      <c r="I136" s="82">
        <v>712.5</v>
      </c>
      <c r="J136" s="82">
        <v>712.5</v>
      </c>
    </row>
    <row r="137" spans="1:10" s="30" customFormat="1" ht="25.5" x14ac:dyDescent="0.25">
      <c r="A137" s="3"/>
      <c r="B137" s="73"/>
      <c r="C137" s="19" t="s">
        <v>58</v>
      </c>
      <c r="D137" s="19" t="s">
        <v>75</v>
      </c>
      <c r="E137" s="19" t="s">
        <v>373</v>
      </c>
      <c r="F137" s="65" t="s">
        <v>96</v>
      </c>
      <c r="G137" s="75" t="s">
        <v>97</v>
      </c>
      <c r="H137" s="82">
        <f>10+72.7</f>
        <v>82.7</v>
      </c>
      <c r="I137" s="82">
        <v>0</v>
      </c>
      <c r="J137" s="82">
        <v>0</v>
      </c>
    </row>
    <row r="138" spans="1:10" s="30" customFormat="1" ht="39" x14ac:dyDescent="0.25">
      <c r="A138" s="3"/>
      <c r="B138" s="73"/>
      <c r="C138" s="26" t="s">
        <v>58</v>
      </c>
      <c r="D138" s="26" t="s">
        <v>86</v>
      </c>
      <c r="E138" s="26"/>
      <c r="F138" s="32"/>
      <c r="G138" s="40" t="s">
        <v>20</v>
      </c>
      <c r="H138" s="160">
        <f t="shared" ref="H138:J141" si="34">H139</f>
        <v>70</v>
      </c>
      <c r="I138" s="160">
        <f t="shared" si="34"/>
        <v>70</v>
      </c>
      <c r="J138" s="160">
        <f t="shared" si="34"/>
        <v>70</v>
      </c>
    </row>
    <row r="139" spans="1:10" s="30" customFormat="1" ht="119.25" customHeight="1" x14ac:dyDescent="0.25">
      <c r="A139" s="3"/>
      <c r="B139" s="73"/>
      <c r="C139" s="57" t="s">
        <v>58</v>
      </c>
      <c r="D139" s="57" t="s">
        <v>86</v>
      </c>
      <c r="E139" s="57" t="s">
        <v>217</v>
      </c>
      <c r="F139" s="16"/>
      <c r="G139" s="126" t="s">
        <v>218</v>
      </c>
      <c r="H139" s="86">
        <f>H140</f>
        <v>70</v>
      </c>
      <c r="I139" s="86">
        <f t="shared" si="34"/>
        <v>70</v>
      </c>
      <c r="J139" s="86">
        <f t="shared" si="34"/>
        <v>70</v>
      </c>
    </row>
    <row r="140" spans="1:10" s="30" customFormat="1" ht="18.75" customHeight="1" x14ac:dyDescent="0.25">
      <c r="A140" s="3"/>
      <c r="B140" s="73"/>
      <c r="C140" s="19" t="s">
        <v>58</v>
      </c>
      <c r="D140" s="19" t="s">
        <v>86</v>
      </c>
      <c r="E140" s="19" t="s">
        <v>304</v>
      </c>
      <c r="F140" s="16"/>
      <c r="G140" s="129" t="s">
        <v>303</v>
      </c>
      <c r="H140" s="88">
        <f>H141+H143</f>
        <v>70</v>
      </c>
      <c r="I140" s="88">
        <f t="shared" ref="I140:J140" si="35">I141+I143</f>
        <v>70</v>
      </c>
      <c r="J140" s="88">
        <f t="shared" si="35"/>
        <v>70</v>
      </c>
    </row>
    <row r="141" spans="1:10" s="30" customFormat="1" ht="38.25" x14ac:dyDescent="0.25">
      <c r="A141" s="3"/>
      <c r="B141" s="73"/>
      <c r="C141" s="19" t="s">
        <v>58</v>
      </c>
      <c r="D141" s="19" t="s">
        <v>86</v>
      </c>
      <c r="E141" s="19" t="s">
        <v>300</v>
      </c>
      <c r="F141" s="16"/>
      <c r="G141" s="127" t="s">
        <v>299</v>
      </c>
      <c r="H141" s="82">
        <f t="shared" si="34"/>
        <v>35</v>
      </c>
      <c r="I141" s="82">
        <f t="shared" si="34"/>
        <v>35</v>
      </c>
      <c r="J141" s="82">
        <f t="shared" si="34"/>
        <v>35</v>
      </c>
    </row>
    <row r="142" spans="1:10" s="30" customFormat="1" ht="38.25" x14ac:dyDescent="0.25">
      <c r="A142" s="3"/>
      <c r="B142" s="73"/>
      <c r="C142" s="19" t="s">
        <v>58</v>
      </c>
      <c r="D142" s="19" t="s">
        <v>86</v>
      </c>
      <c r="E142" s="19" t="s">
        <v>300</v>
      </c>
      <c r="F142" s="65" t="s">
        <v>119</v>
      </c>
      <c r="G142" s="75" t="s">
        <v>120</v>
      </c>
      <c r="H142" s="82">
        <v>35</v>
      </c>
      <c r="I142" s="82">
        <v>35</v>
      </c>
      <c r="J142" s="82">
        <v>35</v>
      </c>
    </row>
    <row r="143" spans="1:10" s="30" customFormat="1" ht="29.25" customHeight="1" x14ac:dyDescent="0.25">
      <c r="A143" s="3"/>
      <c r="B143" s="73"/>
      <c r="C143" s="19" t="s">
        <v>58</v>
      </c>
      <c r="D143" s="19" t="s">
        <v>86</v>
      </c>
      <c r="E143" s="19" t="s">
        <v>301</v>
      </c>
      <c r="F143" s="65"/>
      <c r="G143" s="106" t="s">
        <v>302</v>
      </c>
      <c r="H143" s="82">
        <f>H144</f>
        <v>35</v>
      </c>
      <c r="I143" s="82">
        <f t="shared" ref="I143:J143" si="36">I144</f>
        <v>35</v>
      </c>
      <c r="J143" s="82">
        <f t="shared" si="36"/>
        <v>35</v>
      </c>
    </row>
    <row r="144" spans="1:10" s="30" customFormat="1" ht="38.25" x14ac:dyDescent="0.25">
      <c r="A144" s="3"/>
      <c r="B144" s="73"/>
      <c r="C144" s="19" t="s">
        <v>58</v>
      </c>
      <c r="D144" s="19" t="s">
        <v>86</v>
      </c>
      <c r="E144" s="19" t="s">
        <v>301</v>
      </c>
      <c r="F144" s="65" t="s">
        <v>119</v>
      </c>
      <c r="G144" s="75" t="s">
        <v>120</v>
      </c>
      <c r="H144" s="82">
        <v>35</v>
      </c>
      <c r="I144" s="82">
        <v>35</v>
      </c>
      <c r="J144" s="82">
        <v>35</v>
      </c>
    </row>
    <row r="145" spans="1:10" ht="15.75" x14ac:dyDescent="0.25">
      <c r="A145" s="3"/>
      <c r="B145" s="73"/>
      <c r="C145" s="4" t="s">
        <v>59</v>
      </c>
      <c r="D145" s="3"/>
      <c r="E145" s="3"/>
      <c r="F145" s="3"/>
      <c r="G145" s="43" t="s">
        <v>65</v>
      </c>
      <c r="H145" s="158">
        <f>H146+H157+H167+H201</f>
        <v>309167.59999999998</v>
      </c>
      <c r="I145" s="158">
        <f>I146+I157+I167+I201</f>
        <v>224401</v>
      </c>
      <c r="J145" s="158">
        <f>J146+J157+J167+J201</f>
        <v>224036.59999999998</v>
      </c>
    </row>
    <row r="146" spans="1:10" ht="14.25" x14ac:dyDescent="0.2">
      <c r="A146" s="27"/>
      <c r="B146" s="22"/>
      <c r="C146" s="28" t="s">
        <v>59</v>
      </c>
      <c r="D146" s="28" t="s">
        <v>60</v>
      </c>
      <c r="E146" s="28"/>
      <c r="F146" s="28"/>
      <c r="G146" s="39" t="s">
        <v>68</v>
      </c>
      <c r="H146" s="160">
        <f>H147</f>
        <v>5009.6000000000004</v>
      </c>
      <c r="I146" s="160">
        <f t="shared" ref="I146:J146" si="37">I147</f>
        <v>42.2</v>
      </c>
      <c r="J146" s="160">
        <f t="shared" si="37"/>
        <v>59</v>
      </c>
    </row>
    <row r="147" spans="1:10" ht="102" x14ac:dyDescent="0.2">
      <c r="A147" s="27"/>
      <c r="B147" s="22"/>
      <c r="C147" s="65" t="s">
        <v>59</v>
      </c>
      <c r="D147" s="65" t="s">
        <v>60</v>
      </c>
      <c r="E147" s="57" t="s">
        <v>45</v>
      </c>
      <c r="F147" s="16"/>
      <c r="G147" s="126" t="s">
        <v>206</v>
      </c>
      <c r="H147" s="86">
        <f>H148</f>
        <v>5009.6000000000004</v>
      </c>
      <c r="I147" s="86">
        <f>I148</f>
        <v>42.2</v>
      </c>
      <c r="J147" s="86">
        <f>J148</f>
        <v>59</v>
      </c>
    </row>
    <row r="148" spans="1:10" ht="29.25" customHeight="1" x14ac:dyDescent="0.25">
      <c r="A148" s="27"/>
      <c r="B148" s="22"/>
      <c r="C148" s="65" t="s">
        <v>59</v>
      </c>
      <c r="D148" s="65" t="s">
        <v>60</v>
      </c>
      <c r="E148" s="46" t="s">
        <v>317</v>
      </c>
      <c r="F148" s="16"/>
      <c r="G148" s="125" t="s">
        <v>316</v>
      </c>
      <c r="H148" s="113">
        <f>H149+H151+H153+H155</f>
        <v>5009.6000000000004</v>
      </c>
      <c r="I148" s="113">
        <f t="shared" ref="I148:J148" si="38">I149+I151+I153+I155</f>
        <v>42.2</v>
      </c>
      <c r="J148" s="113">
        <f t="shared" si="38"/>
        <v>59</v>
      </c>
    </row>
    <row r="149" spans="1:10" ht="38.25" x14ac:dyDescent="0.2">
      <c r="A149" s="27"/>
      <c r="B149" s="22"/>
      <c r="C149" s="65" t="s">
        <v>59</v>
      </c>
      <c r="D149" s="65" t="s">
        <v>60</v>
      </c>
      <c r="E149" s="19" t="s">
        <v>318</v>
      </c>
      <c r="F149" s="16"/>
      <c r="G149" s="76" t="s">
        <v>187</v>
      </c>
      <c r="H149" s="113">
        <f>H150</f>
        <v>0</v>
      </c>
      <c r="I149" s="113">
        <f t="shared" ref="I149:J149" si="39">I150</f>
        <v>42.2</v>
      </c>
      <c r="J149" s="113">
        <f t="shared" si="39"/>
        <v>59</v>
      </c>
    </row>
    <row r="150" spans="1:10" ht="38.25" x14ac:dyDescent="0.2">
      <c r="A150" s="27"/>
      <c r="B150" s="22"/>
      <c r="C150" s="65" t="s">
        <v>59</v>
      </c>
      <c r="D150" s="65" t="s">
        <v>60</v>
      </c>
      <c r="E150" s="19" t="s">
        <v>318</v>
      </c>
      <c r="F150" s="65" t="s">
        <v>119</v>
      </c>
      <c r="G150" s="75" t="s">
        <v>120</v>
      </c>
      <c r="H150" s="82">
        <f>84.3-84.3</f>
        <v>0</v>
      </c>
      <c r="I150" s="82">
        <v>42.2</v>
      </c>
      <c r="J150" s="82">
        <v>59</v>
      </c>
    </row>
    <row r="151" spans="1:10" ht="51" customHeight="1" x14ac:dyDescent="0.2">
      <c r="A151" s="27"/>
      <c r="B151" s="22"/>
      <c r="C151" s="65" t="s">
        <v>59</v>
      </c>
      <c r="D151" s="65" t="s">
        <v>60</v>
      </c>
      <c r="E151" s="19" t="s">
        <v>583</v>
      </c>
      <c r="F151" s="65"/>
      <c r="G151" s="75" t="s">
        <v>585</v>
      </c>
      <c r="H151" s="82">
        <f>H152</f>
        <v>1770</v>
      </c>
      <c r="I151" s="82">
        <f t="shared" ref="I151:J151" si="40">I152</f>
        <v>0</v>
      </c>
      <c r="J151" s="82">
        <f t="shared" si="40"/>
        <v>0</v>
      </c>
    </row>
    <row r="152" spans="1:10" ht="38.25" x14ac:dyDescent="0.2">
      <c r="A152" s="27"/>
      <c r="B152" s="22"/>
      <c r="C152" s="65" t="s">
        <v>59</v>
      </c>
      <c r="D152" s="65" t="s">
        <v>60</v>
      </c>
      <c r="E152" s="19" t="s">
        <v>583</v>
      </c>
      <c r="F152" s="65" t="s">
        <v>119</v>
      </c>
      <c r="G152" s="75" t="s">
        <v>120</v>
      </c>
      <c r="H152" s="82">
        <f>1750.5+19.5</f>
        <v>1770</v>
      </c>
      <c r="I152" s="82">
        <v>0</v>
      </c>
      <c r="J152" s="82">
        <v>0</v>
      </c>
    </row>
    <row r="153" spans="1:10" ht="54.75" customHeight="1" x14ac:dyDescent="0.2">
      <c r="A153" s="27"/>
      <c r="B153" s="22"/>
      <c r="C153" s="65" t="s">
        <v>59</v>
      </c>
      <c r="D153" s="65" t="s">
        <v>60</v>
      </c>
      <c r="E153" s="19" t="s">
        <v>584</v>
      </c>
      <c r="F153" s="65"/>
      <c r="G153" s="75" t="s">
        <v>586</v>
      </c>
      <c r="H153" s="82">
        <f>H154</f>
        <v>2950</v>
      </c>
      <c r="I153" s="82">
        <f t="shared" ref="I153" si="41">I154</f>
        <v>0</v>
      </c>
      <c r="J153" s="82">
        <f t="shared" ref="J153" si="42">J154</f>
        <v>0</v>
      </c>
    </row>
    <row r="154" spans="1:10" ht="38.25" x14ac:dyDescent="0.2">
      <c r="A154" s="27"/>
      <c r="B154" s="22"/>
      <c r="C154" s="65" t="s">
        <v>59</v>
      </c>
      <c r="D154" s="65" t="s">
        <v>60</v>
      </c>
      <c r="E154" s="19" t="s">
        <v>584</v>
      </c>
      <c r="F154" s="65" t="s">
        <v>119</v>
      </c>
      <c r="G154" s="75" t="s">
        <v>120</v>
      </c>
      <c r="H154" s="82">
        <f>2917.6+32.4</f>
        <v>2950</v>
      </c>
      <c r="I154" s="82">
        <v>0</v>
      </c>
      <c r="J154" s="82">
        <v>0</v>
      </c>
    </row>
    <row r="155" spans="1:10" ht="88.5" customHeight="1" x14ac:dyDescent="0.2">
      <c r="A155" s="27"/>
      <c r="B155" s="22"/>
      <c r="C155" s="65" t="s">
        <v>59</v>
      </c>
      <c r="D155" s="65" t="s">
        <v>60</v>
      </c>
      <c r="E155" s="19" t="s">
        <v>592</v>
      </c>
      <c r="F155" s="65"/>
      <c r="G155" s="75" t="s">
        <v>608</v>
      </c>
      <c r="H155" s="82">
        <f>H156</f>
        <v>289.60000000000002</v>
      </c>
      <c r="I155" s="82">
        <f t="shared" ref="I155:J155" si="43">I156</f>
        <v>0</v>
      </c>
      <c r="J155" s="82">
        <f t="shared" si="43"/>
        <v>0</v>
      </c>
    </row>
    <row r="156" spans="1:10" ht="38.25" x14ac:dyDescent="0.2">
      <c r="A156" s="27"/>
      <c r="B156" s="22"/>
      <c r="C156" s="65" t="s">
        <v>59</v>
      </c>
      <c r="D156" s="65" t="s">
        <v>60</v>
      </c>
      <c r="E156" s="19" t="s">
        <v>592</v>
      </c>
      <c r="F156" s="65" t="s">
        <v>119</v>
      </c>
      <c r="G156" s="75" t="s">
        <v>120</v>
      </c>
      <c r="H156" s="82">
        <v>289.60000000000002</v>
      </c>
      <c r="I156" s="82">
        <v>0</v>
      </c>
      <c r="J156" s="82">
        <v>0</v>
      </c>
    </row>
    <row r="157" spans="1:10" ht="14.25" x14ac:dyDescent="0.2">
      <c r="A157" s="1"/>
      <c r="B157" s="23"/>
      <c r="C157" s="28" t="s">
        <v>59</v>
      </c>
      <c r="D157" s="28" t="s">
        <v>66</v>
      </c>
      <c r="E157" s="28"/>
      <c r="F157" s="28"/>
      <c r="G157" s="25" t="s">
        <v>0</v>
      </c>
      <c r="H157" s="160">
        <f>H158+H162</f>
        <v>41713.9</v>
      </c>
      <c r="I157" s="160">
        <f t="shared" ref="I157:J157" si="44">I158+I162</f>
        <v>34681.4</v>
      </c>
      <c r="J157" s="160">
        <f t="shared" si="44"/>
        <v>34681.4</v>
      </c>
    </row>
    <row r="158" spans="1:10" ht="127.5" x14ac:dyDescent="0.2">
      <c r="A158" s="1"/>
      <c r="B158" s="23"/>
      <c r="C158" s="5" t="s">
        <v>59</v>
      </c>
      <c r="D158" s="5" t="s">
        <v>66</v>
      </c>
      <c r="E158" s="57" t="s">
        <v>479</v>
      </c>
      <c r="F158" s="28"/>
      <c r="G158" s="126" t="s">
        <v>210</v>
      </c>
      <c r="H158" s="86">
        <f t="shared" ref="H158:J159" si="45">H159</f>
        <v>25274.400000000001</v>
      </c>
      <c r="I158" s="86">
        <f t="shared" si="45"/>
        <v>25274.400000000001</v>
      </c>
      <c r="J158" s="86">
        <f t="shared" si="45"/>
        <v>25274.400000000001</v>
      </c>
    </row>
    <row r="159" spans="1:10" ht="139.5" customHeight="1" x14ac:dyDescent="0.2">
      <c r="A159" s="1"/>
      <c r="B159" s="23"/>
      <c r="C159" s="16" t="s">
        <v>59</v>
      </c>
      <c r="D159" s="16" t="s">
        <v>66</v>
      </c>
      <c r="E159" s="46" t="s">
        <v>496</v>
      </c>
      <c r="F159" s="28"/>
      <c r="G159" s="40" t="s">
        <v>495</v>
      </c>
      <c r="H159" s="88">
        <f>H160</f>
        <v>25274.400000000001</v>
      </c>
      <c r="I159" s="88">
        <f t="shared" si="45"/>
        <v>25274.400000000001</v>
      </c>
      <c r="J159" s="88">
        <f t="shared" si="45"/>
        <v>25274.400000000001</v>
      </c>
    </row>
    <row r="160" spans="1:10" ht="75.75" customHeight="1" x14ac:dyDescent="0.2">
      <c r="A160" s="1"/>
      <c r="C160" s="16" t="s">
        <v>59</v>
      </c>
      <c r="D160" s="16" t="s">
        <v>66</v>
      </c>
      <c r="E160" s="58" t="s">
        <v>498</v>
      </c>
      <c r="F160" s="28"/>
      <c r="G160" s="74" t="s">
        <v>497</v>
      </c>
      <c r="H160" s="113">
        <f>H161</f>
        <v>25274.400000000001</v>
      </c>
      <c r="I160" s="113">
        <f>I161</f>
        <v>25274.400000000001</v>
      </c>
      <c r="J160" s="113">
        <f>J161</f>
        <v>25274.400000000001</v>
      </c>
    </row>
    <row r="161" spans="1:10" ht="38.25" x14ac:dyDescent="0.2">
      <c r="A161" s="1"/>
      <c r="B161" s="23"/>
      <c r="C161" s="16" t="s">
        <v>59</v>
      </c>
      <c r="D161" s="16" t="s">
        <v>66</v>
      </c>
      <c r="E161" s="58" t="s">
        <v>498</v>
      </c>
      <c r="F161" s="65" t="s">
        <v>119</v>
      </c>
      <c r="G161" s="75" t="s">
        <v>120</v>
      </c>
      <c r="H161" s="113">
        <v>25274.400000000001</v>
      </c>
      <c r="I161" s="113">
        <v>25274.400000000001</v>
      </c>
      <c r="J161" s="113">
        <v>25274.400000000001</v>
      </c>
    </row>
    <row r="162" spans="1:10" ht="86.45" customHeight="1" x14ac:dyDescent="0.2">
      <c r="A162" s="1"/>
      <c r="B162" s="23"/>
      <c r="C162" s="16" t="s">
        <v>59</v>
      </c>
      <c r="D162" s="16" t="s">
        <v>66</v>
      </c>
      <c r="E162" s="59">
        <v>750200000</v>
      </c>
      <c r="F162" s="65"/>
      <c r="G162" s="51" t="s">
        <v>499</v>
      </c>
      <c r="H162" s="113">
        <f>H163+H165</f>
        <v>16439.5</v>
      </c>
      <c r="I162" s="113">
        <f t="shared" ref="I162:J162" si="46">I163+I165</f>
        <v>9407</v>
      </c>
      <c r="J162" s="113">
        <f t="shared" si="46"/>
        <v>9407</v>
      </c>
    </row>
    <row r="163" spans="1:10" ht="85.15" customHeight="1" x14ac:dyDescent="0.2">
      <c r="A163" s="1"/>
      <c r="B163" s="23"/>
      <c r="C163" s="16" t="s">
        <v>59</v>
      </c>
      <c r="D163" s="16" t="s">
        <v>66</v>
      </c>
      <c r="E163" s="58">
        <v>750223710</v>
      </c>
      <c r="F163" s="65"/>
      <c r="G163" s="47" t="s">
        <v>180</v>
      </c>
      <c r="H163" s="113">
        <f>H164</f>
        <v>16329.5</v>
      </c>
      <c r="I163" s="113">
        <f>I164</f>
        <v>9297</v>
      </c>
      <c r="J163" s="113">
        <f>J164</f>
        <v>9297</v>
      </c>
    </row>
    <row r="164" spans="1:10" ht="38.25" x14ac:dyDescent="0.2">
      <c r="A164" s="1"/>
      <c r="B164" s="23"/>
      <c r="C164" s="16" t="s">
        <v>59</v>
      </c>
      <c r="D164" s="16" t="s">
        <v>66</v>
      </c>
      <c r="E164" s="58">
        <v>750223710</v>
      </c>
      <c r="F164" s="65" t="s">
        <v>119</v>
      </c>
      <c r="G164" s="75" t="s">
        <v>120</v>
      </c>
      <c r="H164" s="113">
        <f>9297+7032.4+0.1</f>
        <v>16329.5</v>
      </c>
      <c r="I164" s="113">
        <v>9297</v>
      </c>
      <c r="J164" s="113">
        <v>9297</v>
      </c>
    </row>
    <row r="165" spans="1:10" ht="82.5" customHeight="1" x14ac:dyDescent="0.2">
      <c r="A165" s="1"/>
      <c r="B165" s="23"/>
      <c r="C165" s="16" t="s">
        <v>59</v>
      </c>
      <c r="D165" s="16" t="s">
        <v>66</v>
      </c>
      <c r="E165" s="58">
        <v>750223720</v>
      </c>
      <c r="F165" s="65"/>
      <c r="G165" s="47" t="s">
        <v>500</v>
      </c>
      <c r="H165" s="113">
        <f>H166</f>
        <v>110</v>
      </c>
      <c r="I165" s="113">
        <f>I166</f>
        <v>110</v>
      </c>
      <c r="J165" s="113">
        <f>J166</f>
        <v>110</v>
      </c>
    </row>
    <row r="166" spans="1:10" ht="38.25" x14ac:dyDescent="0.2">
      <c r="A166" s="1"/>
      <c r="B166" s="23"/>
      <c r="C166" s="16" t="s">
        <v>59</v>
      </c>
      <c r="D166" s="16" t="s">
        <v>66</v>
      </c>
      <c r="E166" s="58">
        <v>750223720</v>
      </c>
      <c r="F166" s="65" t="s">
        <v>119</v>
      </c>
      <c r="G166" s="75" t="s">
        <v>120</v>
      </c>
      <c r="H166" s="113">
        <v>110</v>
      </c>
      <c r="I166" s="113">
        <v>110</v>
      </c>
      <c r="J166" s="113">
        <v>110</v>
      </c>
    </row>
    <row r="167" spans="1:10" ht="28.5" x14ac:dyDescent="0.2">
      <c r="A167" s="1"/>
      <c r="B167" s="23"/>
      <c r="C167" s="28" t="s">
        <v>59</v>
      </c>
      <c r="D167" s="28" t="s">
        <v>64</v>
      </c>
      <c r="E167" s="28"/>
      <c r="F167" s="28"/>
      <c r="G167" s="44" t="s">
        <v>118</v>
      </c>
      <c r="H167" s="160">
        <f>+H168</f>
        <v>260898.8</v>
      </c>
      <c r="I167" s="160">
        <f t="shared" ref="I167:J167" si="47">+I168</f>
        <v>187808.4</v>
      </c>
      <c r="J167" s="160">
        <f t="shared" si="47"/>
        <v>187425.19999999998</v>
      </c>
    </row>
    <row r="168" spans="1:10" ht="127.5" x14ac:dyDescent="0.2">
      <c r="A168" s="1"/>
      <c r="B168" s="23"/>
      <c r="C168" s="5" t="s">
        <v>59</v>
      </c>
      <c r="D168" s="5" t="s">
        <v>64</v>
      </c>
      <c r="E168" s="57" t="s">
        <v>479</v>
      </c>
      <c r="F168" s="28"/>
      <c r="G168" s="126" t="s">
        <v>210</v>
      </c>
      <c r="H168" s="86">
        <f>H169+H174+H187+H190</f>
        <v>260898.8</v>
      </c>
      <c r="I168" s="86">
        <f>I169+I174+I187+I190</f>
        <v>187808.4</v>
      </c>
      <c r="J168" s="86">
        <f>J169+J174+J187+J190</f>
        <v>187425.19999999998</v>
      </c>
    </row>
    <row r="169" spans="1:10" ht="116.25" customHeight="1" x14ac:dyDescent="0.2">
      <c r="A169" s="1"/>
      <c r="B169" s="23"/>
      <c r="C169" s="16" t="s">
        <v>59</v>
      </c>
      <c r="D169" s="16" t="s">
        <v>64</v>
      </c>
      <c r="E169" s="46" t="s">
        <v>481</v>
      </c>
      <c r="F169" s="28"/>
      <c r="G169" s="40" t="s">
        <v>480</v>
      </c>
      <c r="H169" s="88">
        <f>H170+H172</f>
        <v>108673.7</v>
      </c>
      <c r="I169" s="88">
        <f t="shared" ref="I169:J169" si="48">I170+I172</f>
        <v>81809.7</v>
      </c>
      <c r="J169" s="88">
        <f t="shared" si="48"/>
        <v>85082</v>
      </c>
    </row>
    <row r="170" spans="1:10" ht="55.15" customHeight="1" x14ac:dyDescent="0.2">
      <c r="A170" s="1"/>
      <c r="B170" s="23"/>
      <c r="C170" s="16" t="s">
        <v>59</v>
      </c>
      <c r="D170" s="16" t="s">
        <v>64</v>
      </c>
      <c r="E170" s="100" t="s">
        <v>483</v>
      </c>
      <c r="F170" s="28"/>
      <c r="G170" s="74" t="s">
        <v>482</v>
      </c>
      <c r="H170" s="113">
        <f>H171</f>
        <v>108673.7</v>
      </c>
      <c r="I170" s="113">
        <f>I171</f>
        <v>66572.2</v>
      </c>
      <c r="J170" s="113">
        <f>J171</f>
        <v>69235.100000000006</v>
      </c>
    </row>
    <row r="171" spans="1:10" ht="38.25" x14ac:dyDescent="0.2">
      <c r="A171" s="1"/>
      <c r="B171" s="23"/>
      <c r="C171" s="16" t="s">
        <v>59</v>
      </c>
      <c r="D171" s="16" t="s">
        <v>64</v>
      </c>
      <c r="E171" s="100" t="s">
        <v>483</v>
      </c>
      <c r="F171" s="65" t="s">
        <v>119</v>
      </c>
      <c r="G171" s="75" t="s">
        <v>120</v>
      </c>
      <c r="H171" s="113">
        <f>67407.6+19.1-3414.9+4024.6+447.2+4052.7+36171.1-4052.7+4019</f>
        <v>108673.7</v>
      </c>
      <c r="I171" s="113">
        <f>66550.2+19.8+2.2</f>
        <v>66572.2</v>
      </c>
      <c r="J171" s="113">
        <f>69212.2+20.6+2.3</f>
        <v>69235.100000000006</v>
      </c>
    </row>
    <row r="172" spans="1:10" ht="60.6" customHeight="1" x14ac:dyDescent="0.2">
      <c r="A172" s="1"/>
      <c r="B172" s="23"/>
      <c r="C172" s="16" t="s">
        <v>59</v>
      </c>
      <c r="D172" s="16" t="s">
        <v>64</v>
      </c>
      <c r="E172" s="100" t="s">
        <v>485</v>
      </c>
      <c r="F172" s="65"/>
      <c r="G172" s="75" t="s">
        <v>484</v>
      </c>
      <c r="H172" s="113">
        <f>H173</f>
        <v>0</v>
      </c>
      <c r="I172" s="113">
        <f t="shared" ref="I172:J172" si="49">I173</f>
        <v>15237.5</v>
      </c>
      <c r="J172" s="113">
        <f t="shared" si="49"/>
        <v>15846.9</v>
      </c>
    </row>
    <row r="173" spans="1:10" ht="38.25" x14ac:dyDescent="0.2">
      <c r="A173" s="1"/>
      <c r="B173" s="23"/>
      <c r="C173" s="16" t="s">
        <v>59</v>
      </c>
      <c r="D173" s="16" t="s">
        <v>64</v>
      </c>
      <c r="E173" s="100" t="s">
        <v>485</v>
      </c>
      <c r="F173" s="65" t="s">
        <v>119</v>
      </c>
      <c r="G173" s="75" t="s">
        <v>120</v>
      </c>
      <c r="H173" s="113">
        <f>14659.3-8-13186.2-1465.1</f>
        <v>0</v>
      </c>
      <c r="I173" s="113">
        <f>15237.5</f>
        <v>15237.5</v>
      </c>
      <c r="J173" s="113">
        <v>15846.9</v>
      </c>
    </row>
    <row r="174" spans="1:10" ht="38.450000000000003" customHeight="1" x14ac:dyDescent="0.2">
      <c r="A174" s="1"/>
      <c r="B174" s="23"/>
      <c r="C174" s="16" t="s">
        <v>59</v>
      </c>
      <c r="D174" s="16" t="s">
        <v>64</v>
      </c>
      <c r="E174" s="46" t="s">
        <v>487</v>
      </c>
      <c r="F174" s="65"/>
      <c r="G174" s="51" t="s">
        <v>486</v>
      </c>
      <c r="H174" s="88">
        <f>H175+H177+H179+H181+H183+H185</f>
        <v>143054.59999999998</v>
      </c>
      <c r="I174" s="88">
        <f>I175+I177+I179+I181</f>
        <v>91947.3</v>
      </c>
      <c r="J174" s="88">
        <f>J175+J177+J179+J181</f>
        <v>93296.8</v>
      </c>
    </row>
    <row r="175" spans="1:10" ht="94.9" customHeight="1" x14ac:dyDescent="0.2">
      <c r="A175" s="1"/>
      <c r="B175" s="23"/>
      <c r="C175" s="16" t="s">
        <v>59</v>
      </c>
      <c r="D175" s="16" t="s">
        <v>64</v>
      </c>
      <c r="E175" s="100" t="s">
        <v>489</v>
      </c>
      <c r="F175" s="16"/>
      <c r="G175" s="75" t="s">
        <v>488</v>
      </c>
      <c r="H175" s="113">
        <f>H176</f>
        <v>23591.3</v>
      </c>
      <c r="I175" s="113">
        <f>I176</f>
        <v>22865.4</v>
      </c>
      <c r="J175" s="113">
        <f>J176</f>
        <v>22865.4</v>
      </c>
    </row>
    <row r="176" spans="1:10" ht="38.25" x14ac:dyDescent="0.2">
      <c r="A176" s="1"/>
      <c r="B176" s="23"/>
      <c r="C176" s="16" t="s">
        <v>59</v>
      </c>
      <c r="D176" s="16" t="s">
        <v>64</v>
      </c>
      <c r="E176" s="100" t="s">
        <v>489</v>
      </c>
      <c r="F176" s="65" t="s">
        <v>119</v>
      </c>
      <c r="G176" s="75" t="s">
        <v>120</v>
      </c>
      <c r="H176" s="113">
        <f>22459-167.7+1300</f>
        <v>23591.3</v>
      </c>
      <c r="I176" s="113">
        <v>22865.4</v>
      </c>
      <c r="J176" s="113">
        <v>22865.4</v>
      </c>
    </row>
    <row r="177" spans="1:10" ht="67.900000000000006" customHeight="1" x14ac:dyDescent="0.2">
      <c r="A177" s="1"/>
      <c r="B177" s="23"/>
      <c r="C177" s="16" t="s">
        <v>59</v>
      </c>
      <c r="D177" s="16" t="s">
        <v>64</v>
      </c>
      <c r="E177" s="100" t="s">
        <v>491</v>
      </c>
      <c r="F177" s="65"/>
      <c r="G177" s="94" t="s">
        <v>490</v>
      </c>
      <c r="H177" s="113">
        <f>H178</f>
        <v>32440.3</v>
      </c>
      <c r="I177" s="113">
        <f t="shared" ref="I177:J177" si="50">I178</f>
        <v>33737.9</v>
      </c>
      <c r="J177" s="113">
        <f t="shared" si="50"/>
        <v>35087.4</v>
      </c>
    </row>
    <row r="178" spans="1:10" ht="38.25" x14ac:dyDescent="0.2">
      <c r="A178" s="1"/>
      <c r="B178" s="23"/>
      <c r="C178" s="16" t="s">
        <v>59</v>
      </c>
      <c r="D178" s="16" t="s">
        <v>64</v>
      </c>
      <c r="E178" s="100" t="s">
        <v>491</v>
      </c>
      <c r="F178" s="65" t="s">
        <v>119</v>
      </c>
      <c r="G178" s="75" t="s">
        <v>120</v>
      </c>
      <c r="H178" s="113">
        <v>32440.3</v>
      </c>
      <c r="I178" s="113">
        <v>33737.9</v>
      </c>
      <c r="J178" s="113">
        <v>35087.4</v>
      </c>
    </row>
    <row r="179" spans="1:10" ht="36" customHeight="1" x14ac:dyDescent="0.2">
      <c r="A179" s="1"/>
      <c r="B179" s="23"/>
      <c r="C179" s="16" t="s">
        <v>59</v>
      </c>
      <c r="D179" s="16" t="s">
        <v>64</v>
      </c>
      <c r="E179" s="100" t="s">
        <v>492</v>
      </c>
      <c r="F179" s="65"/>
      <c r="G179" s="75" t="s">
        <v>115</v>
      </c>
      <c r="H179" s="113">
        <f>H180</f>
        <v>31856.400000000001</v>
      </c>
      <c r="I179" s="113">
        <f>I180</f>
        <v>33394</v>
      </c>
      <c r="J179" s="113">
        <f>J180</f>
        <v>33394</v>
      </c>
    </row>
    <row r="180" spans="1:10" ht="38.25" x14ac:dyDescent="0.2">
      <c r="A180" s="1"/>
      <c r="B180" s="23"/>
      <c r="C180" s="16" t="s">
        <v>59</v>
      </c>
      <c r="D180" s="16" t="s">
        <v>64</v>
      </c>
      <c r="E180" s="100" t="s">
        <v>492</v>
      </c>
      <c r="F180" s="65" t="s">
        <v>119</v>
      </c>
      <c r="G180" s="75" t="s">
        <v>120</v>
      </c>
      <c r="H180" s="113">
        <f>30829.9+333.4-5788-50+5684.6-2288.1+3134.6</f>
        <v>31856.400000000001</v>
      </c>
      <c r="I180" s="113">
        <v>33394</v>
      </c>
      <c r="J180" s="113">
        <v>33394</v>
      </c>
    </row>
    <row r="181" spans="1:10" ht="111" customHeight="1" x14ac:dyDescent="0.2">
      <c r="A181" s="1"/>
      <c r="B181" s="23"/>
      <c r="C181" s="16" t="s">
        <v>59</v>
      </c>
      <c r="D181" s="16" t="s">
        <v>64</v>
      </c>
      <c r="E181" s="100" t="s">
        <v>494</v>
      </c>
      <c r="F181" s="65"/>
      <c r="G181" s="91" t="s">
        <v>493</v>
      </c>
      <c r="H181" s="113">
        <f>H182</f>
        <v>3552.7</v>
      </c>
      <c r="I181" s="113">
        <f>I182</f>
        <v>1950</v>
      </c>
      <c r="J181" s="113">
        <f>J182</f>
        <v>1950</v>
      </c>
    </row>
    <row r="182" spans="1:10" ht="38.25" x14ac:dyDescent="0.2">
      <c r="A182" s="1"/>
      <c r="B182" s="23"/>
      <c r="C182" s="16" t="s">
        <v>59</v>
      </c>
      <c r="D182" s="16" t="s">
        <v>64</v>
      </c>
      <c r="E182" s="100" t="s">
        <v>494</v>
      </c>
      <c r="F182" s="65" t="s">
        <v>119</v>
      </c>
      <c r="G182" s="75" t="s">
        <v>120</v>
      </c>
      <c r="H182" s="113">
        <f>1700+1452.7+400</f>
        <v>3552.7</v>
      </c>
      <c r="I182" s="113">
        <v>1950</v>
      </c>
      <c r="J182" s="113">
        <v>1950</v>
      </c>
    </row>
    <row r="183" spans="1:10" x14ac:dyDescent="0.2">
      <c r="A183" s="1"/>
      <c r="B183" s="23"/>
      <c r="C183" s="16" t="s">
        <v>59</v>
      </c>
      <c r="D183" s="16" t="s">
        <v>64</v>
      </c>
      <c r="E183" s="100" t="s">
        <v>570</v>
      </c>
      <c r="F183" s="65"/>
      <c r="G183" s="47" t="s">
        <v>572</v>
      </c>
      <c r="H183" s="113">
        <f>H184</f>
        <v>35684.6</v>
      </c>
      <c r="I183" s="113">
        <f t="shared" ref="I183:J183" si="51">I184</f>
        <v>0</v>
      </c>
      <c r="J183" s="113">
        <f t="shared" si="51"/>
        <v>0</v>
      </c>
    </row>
    <row r="184" spans="1:10" ht="38.25" x14ac:dyDescent="0.2">
      <c r="A184" s="1"/>
      <c r="B184" s="23"/>
      <c r="C184" s="16" t="s">
        <v>59</v>
      </c>
      <c r="D184" s="16" t="s">
        <v>64</v>
      </c>
      <c r="E184" s="100" t="s">
        <v>570</v>
      </c>
      <c r="F184" s="65" t="s">
        <v>119</v>
      </c>
      <c r="G184" s="75" t="s">
        <v>120</v>
      </c>
      <c r="H184" s="113">
        <f>30000+5684.6-5684.6+7500-1815.4</f>
        <v>35684.6</v>
      </c>
      <c r="I184" s="113">
        <v>0</v>
      </c>
      <c r="J184" s="113">
        <v>0</v>
      </c>
    </row>
    <row r="185" spans="1:10" ht="27" customHeight="1" x14ac:dyDescent="0.2">
      <c r="A185" s="1"/>
      <c r="B185" s="23"/>
      <c r="C185" s="16" t="s">
        <v>59</v>
      </c>
      <c r="D185" s="16" t="s">
        <v>64</v>
      </c>
      <c r="E185" s="100" t="s">
        <v>571</v>
      </c>
      <c r="F185" s="65"/>
      <c r="G185" s="47" t="s">
        <v>582</v>
      </c>
      <c r="H185" s="113">
        <f>H186</f>
        <v>15929.3</v>
      </c>
      <c r="I185" s="113">
        <f t="shared" ref="I185:J185" si="52">I186</f>
        <v>0</v>
      </c>
      <c r="J185" s="113">
        <f t="shared" si="52"/>
        <v>0</v>
      </c>
    </row>
    <row r="186" spans="1:10" ht="38.25" x14ac:dyDescent="0.2">
      <c r="A186" s="1"/>
      <c r="B186" s="23"/>
      <c r="C186" s="16" t="s">
        <v>59</v>
      </c>
      <c r="D186" s="16" t="s">
        <v>64</v>
      </c>
      <c r="E186" s="100" t="s">
        <v>571</v>
      </c>
      <c r="F186" s="65" t="s">
        <v>119</v>
      </c>
      <c r="G186" s="75" t="s">
        <v>120</v>
      </c>
      <c r="H186" s="113">
        <f>14548.9+1942.5+0.1-1942.5+1380.4-0.1</f>
        <v>15929.3</v>
      </c>
      <c r="I186" s="113">
        <v>0</v>
      </c>
      <c r="J186" s="113">
        <v>0</v>
      </c>
    </row>
    <row r="187" spans="1:10" ht="105" customHeight="1" x14ac:dyDescent="0.2">
      <c r="A187" s="1"/>
      <c r="B187" s="23"/>
      <c r="C187" s="16" t="s">
        <v>59</v>
      </c>
      <c r="D187" s="16" t="s">
        <v>64</v>
      </c>
      <c r="E187" s="100" t="s">
        <v>503</v>
      </c>
      <c r="F187" s="65"/>
      <c r="G187" s="51" t="s">
        <v>501</v>
      </c>
      <c r="H187" s="88">
        <f>H188</f>
        <v>0</v>
      </c>
      <c r="I187" s="88">
        <f t="shared" ref="I187:J187" si="53">I188</f>
        <v>4360.6000000000004</v>
      </c>
      <c r="J187" s="88">
        <f t="shared" si="53"/>
        <v>4535.0000000000009</v>
      </c>
    </row>
    <row r="188" spans="1:10" ht="43.15" customHeight="1" x14ac:dyDescent="0.2">
      <c r="A188" s="1"/>
      <c r="B188" s="23"/>
      <c r="C188" s="16" t="s">
        <v>59</v>
      </c>
      <c r="D188" s="16" t="s">
        <v>64</v>
      </c>
      <c r="E188" s="100" t="s">
        <v>502</v>
      </c>
      <c r="F188" s="65"/>
      <c r="G188" s="47" t="s">
        <v>504</v>
      </c>
      <c r="H188" s="113">
        <f>H189</f>
        <v>0</v>
      </c>
      <c r="I188" s="113">
        <f>I189</f>
        <v>4360.6000000000004</v>
      </c>
      <c r="J188" s="113">
        <f>J189</f>
        <v>4535.0000000000009</v>
      </c>
    </row>
    <row r="189" spans="1:10" ht="38.25" x14ac:dyDescent="0.2">
      <c r="A189" s="1"/>
      <c r="B189" s="23"/>
      <c r="C189" s="16" t="s">
        <v>59</v>
      </c>
      <c r="D189" s="16" t="s">
        <v>64</v>
      </c>
      <c r="E189" s="100" t="s">
        <v>502</v>
      </c>
      <c r="F189" s="65" t="s">
        <v>119</v>
      </c>
      <c r="G189" s="75" t="s">
        <v>120</v>
      </c>
      <c r="H189" s="113">
        <f>4191.4+1.3+0.2-3773.6+3773.6-4192.9</f>
        <v>0</v>
      </c>
      <c r="I189" s="113">
        <f>4359.1+1.3+0.2</f>
        <v>4360.6000000000004</v>
      </c>
      <c r="J189" s="113">
        <f>4533.6+1.3+0.1</f>
        <v>4535.0000000000009</v>
      </c>
    </row>
    <row r="190" spans="1:10" ht="51" x14ac:dyDescent="0.2">
      <c r="A190" s="1"/>
      <c r="B190" s="23"/>
      <c r="C190" s="16" t="s">
        <v>59</v>
      </c>
      <c r="D190" s="16" t="s">
        <v>64</v>
      </c>
      <c r="E190" s="150" t="s">
        <v>506</v>
      </c>
      <c r="F190" s="65"/>
      <c r="G190" s="52" t="s">
        <v>505</v>
      </c>
      <c r="H190" s="88">
        <f>H191+H193+H195+H197+H199</f>
        <v>9170.5</v>
      </c>
      <c r="I190" s="88">
        <f t="shared" ref="I190:J190" si="54">I191+I193+I195+I197+I199</f>
        <v>9690.7999999999993</v>
      </c>
      <c r="J190" s="88">
        <f t="shared" si="54"/>
        <v>4511.3999999999996</v>
      </c>
    </row>
    <row r="191" spans="1:10" ht="38.25" x14ac:dyDescent="0.2">
      <c r="A191" s="1"/>
      <c r="B191" s="23"/>
      <c r="C191" s="19" t="s">
        <v>59</v>
      </c>
      <c r="D191" s="19" t="s">
        <v>64</v>
      </c>
      <c r="E191" s="19" t="s">
        <v>507</v>
      </c>
      <c r="F191" s="65"/>
      <c r="G191" s="75" t="s">
        <v>521</v>
      </c>
      <c r="H191" s="82">
        <f>H192</f>
        <v>3011.4</v>
      </c>
      <c r="I191" s="82">
        <f>I192</f>
        <v>3011.4</v>
      </c>
      <c r="J191" s="82">
        <f>J192</f>
        <v>3011.4</v>
      </c>
    </row>
    <row r="192" spans="1:10" ht="38.25" x14ac:dyDescent="0.2">
      <c r="A192" s="1"/>
      <c r="B192" s="23"/>
      <c r="C192" s="19" t="s">
        <v>59</v>
      </c>
      <c r="D192" s="19" t="s">
        <v>64</v>
      </c>
      <c r="E192" s="19" t="s">
        <v>507</v>
      </c>
      <c r="F192" s="65" t="s">
        <v>119</v>
      </c>
      <c r="G192" s="75" t="s">
        <v>120</v>
      </c>
      <c r="H192" s="82">
        <v>3011.4</v>
      </c>
      <c r="I192" s="82">
        <v>3011.4</v>
      </c>
      <c r="J192" s="82">
        <f>3011.3+0.1</f>
        <v>3011.4</v>
      </c>
    </row>
    <row r="193" spans="1:10" ht="25.5" x14ac:dyDescent="0.2">
      <c r="A193" s="1"/>
      <c r="B193" s="23"/>
      <c r="C193" s="19" t="s">
        <v>59</v>
      </c>
      <c r="D193" s="19" t="s">
        <v>64</v>
      </c>
      <c r="E193" s="19" t="s">
        <v>509</v>
      </c>
      <c r="F193" s="65"/>
      <c r="G193" s="75" t="s">
        <v>146</v>
      </c>
      <c r="H193" s="82">
        <f>H194</f>
        <v>1500</v>
      </c>
      <c r="I193" s="82">
        <f t="shared" ref="I193:J193" si="55">I194</f>
        <v>1500</v>
      </c>
      <c r="J193" s="82">
        <f t="shared" si="55"/>
        <v>1500</v>
      </c>
    </row>
    <row r="194" spans="1:10" ht="38.25" x14ac:dyDescent="0.2">
      <c r="A194" s="1"/>
      <c r="B194" s="23"/>
      <c r="C194" s="19" t="s">
        <v>59</v>
      </c>
      <c r="D194" s="19" t="s">
        <v>64</v>
      </c>
      <c r="E194" s="19" t="s">
        <v>509</v>
      </c>
      <c r="F194" s="65" t="s">
        <v>119</v>
      </c>
      <c r="G194" s="75" t="s">
        <v>120</v>
      </c>
      <c r="H194" s="82">
        <v>1500</v>
      </c>
      <c r="I194" s="82">
        <v>1500</v>
      </c>
      <c r="J194" s="82">
        <v>1500</v>
      </c>
    </row>
    <row r="195" spans="1:10" ht="54.75" customHeight="1" x14ac:dyDescent="0.2">
      <c r="A195" s="1"/>
      <c r="B195" s="23"/>
      <c r="C195" s="19" t="s">
        <v>59</v>
      </c>
      <c r="D195" s="19" t="s">
        <v>64</v>
      </c>
      <c r="E195" s="19" t="s">
        <v>511</v>
      </c>
      <c r="F195" s="16"/>
      <c r="G195" s="75" t="s">
        <v>508</v>
      </c>
      <c r="H195" s="82">
        <f>H196</f>
        <v>599.0999999999998</v>
      </c>
      <c r="I195" s="82">
        <f>I196</f>
        <v>714.5</v>
      </c>
      <c r="J195" s="82">
        <f>J196</f>
        <v>0</v>
      </c>
    </row>
    <row r="196" spans="1:10" ht="38.25" x14ac:dyDescent="0.2">
      <c r="A196" s="1"/>
      <c r="B196" s="23"/>
      <c r="C196" s="19" t="s">
        <v>59</v>
      </c>
      <c r="D196" s="19" t="s">
        <v>64</v>
      </c>
      <c r="E196" s="19" t="s">
        <v>511</v>
      </c>
      <c r="F196" s="65" t="s">
        <v>119</v>
      </c>
      <c r="G196" s="75" t="s">
        <v>120</v>
      </c>
      <c r="H196" s="82">
        <f>5000+900.4-4293-562.2+562.1-1008.3+0.1</f>
        <v>599.0999999999998</v>
      </c>
      <c r="I196" s="82">
        <v>714.5</v>
      </c>
      <c r="J196" s="82">
        <v>0</v>
      </c>
    </row>
    <row r="197" spans="1:10" ht="51.75" customHeight="1" x14ac:dyDescent="0.2">
      <c r="A197" s="1"/>
      <c r="B197" s="23"/>
      <c r="C197" s="19" t="s">
        <v>59</v>
      </c>
      <c r="D197" s="19" t="s">
        <v>64</v>
      </c>
      <c r="E197" s="19" t="s">
        <v>512</v>
      </c>
      <c r="F197" s="16"/>
      <c r="G197" s="75" t="s">
        <v>510</v>
      </c>
      <c r="H197" s="162">
        <f>H198</f>
        <v>160</v>
      </c>
      <c r="I197" s="162">
        <f>I198</f>
        <v>4464.8999999999996</v>
      </c>
      <c r="J197" s="162">
        <f>J198</f>
        <v>0</v>
      </c>
    </row>
    <row r="198" spans="1:10" ht="38.25" x14ac:dyDescent="0.2">
      <c r="A198" s="1"/>
      <c r="B198" s="23"/>
      <c r="C198" s="19" t="s">
        <v>59</v>
      </c>
      <c r="D198" s="19" t="s">
        <v>64</v>
      </c>
      <c r="E198" s="19" t="s">
        <v>512</v>
      </c>
      <c r="F198" s="65" t="s">
        <v>119</v>
      </c>
      <c r="G198" s="75" t="s">
        <v>120</v>
      </c>
      <c r="H198" s="82">
        <f>957-797</f>
        <v>160</v>
      </c>
      <c r="I198" s="82">
        <v>4464.8999999999996</v>
      </c>
      <c r="J198" s="82">
        <v>0</v>
      </c>
    </row>
    <row r="199" spans="1:10" ht="51" x14ac:dyDescent="0.2">
      <c r="A199" s="1"/>
      <c r="B199" s="23"/>
      <c r="C199" s="19" t="s">
        <v>59</v>
      </c>
      <c r="D199" s="19" t="s">
        <v>64</v>
      </c>
      <c r="E199" s="19" t="s">
        <v>712</v>
      </c>
      <c r="F199" s="65"/>
      <c r="G199" s="75" t="s">
        <v>713</v>
      </c>
      <c r="H199" s="82">
        <f>H200</f>
        <v>3900</v>
      </c>
      <c r="I199" s="82">
        <f t="shared" ref="I199:J199" si="56">I200</f>
        <v>0</v>
      </c>
      <c r="J199" s="82">
        <f t="shared" si="56"/>
        <v>0</v>
      </c>
    </row>
    <row r="200" spans="1:10" ht="38.25" x14ac:dyDescent="0.2">
      <c r="A200" s="1"/>
      <c r="B200" s="23"/>
      <c r="C200" s="19" t="s">
        <v>59</v>
      </c>
      <c r="D200" s="19" t="s">
        <v>64</v>
      </c>
      <c r="E200" s="19" t="s">
        <v>712</v>
      </c>
      <c r="F200" s="65" t="s">
        <v>119</v>
      </c>
      <c r="G200" s="75" t="s">
        <v>120</v>
      </c>
      <c r="H200" s="82">
        <v>3900</v>
      </c>
      <c r="I200" s="82">
        <v>0</v>
      </c>
      <c r="J200" s="82">
        <v>0</v>
      </c>
    </row>
    <row r="201" spans="1:10" ht="25.5" x14ac:dyDescent="0.2">
      <c r="A201" s="1"/>
      <c r="B201" s="23"/>
      <c r="C201" s="28" t="s">
        <v>59</v>
      </c>
      <c r="D201" s="28" t="s">
        <v>87</v>
      </c>
      <c r="E201" s="28"/>
      <c r="F201" s="28"/>
      <c r="G201" s="40" t="s">
        <v>2</v>
      </c>
      <c r="H201" s="160">
        <f>H202+H210</f>
        <v>1545.3</v>
      </c>
      <c r="I201" s="160">
        <f>I202+I210</f>
        <v>1869</v>
      </c>
      <c r="J201" s="160">
        <f>J202+J210</f>
        <v>1871</v>
      </c>
    </row>
    <row r="202" spans="1:10" ht="102" x14ac:dyDescent="0.2">
      <c r="A202" s="1"/>
      <c r="B202" s="23"/>
      <c r="C202" s="16" t="s">
        <v>59</v>
      </c>
      <c r="D202" s="16" t="s">
        <v>87</v>
      </c>
      <c r="E202" s="57" t="s">
        <v>45</v>
      </c>
      <c r="F202" s="16"/>
      <c r="G202" s="126" t="s">
        <v>206</v>
      </c>
      <c r="H202" s="86">
        <f t="shared" ref="H202:J202" si="57">H203</f>
        <v>882.4</v>
      </c>
      <c r="I202" s="86">
        <f t="shared" si="57"/>
        <v>700</v>
      </c>
      <c r="J202" s="86">
        <f t="shared" si="57"/>
        <v>700</v>
      </c>
    </row>
    <row r="203" spans="1:10" ht="30.75" customHeight="1" x14ac:dyDescent="0.25">
      <c r="A203" s="1"/>
      <c r="B203" s="23"/>
      <c r="C203" s="16" t="s">
        <v>59</v>
      </c>
      <c r="D203" s="16" t="s">
        <v>87</v>
      </c>
      <c r="E203" s="46" t="s">
        <v>317</v>
      </c>
      <c r="F203" s="16"/>
      <c r="G203" s="125" t="s">
        <v>316</v>
      </c>
      <c r="H203" s="88">
        <f>H204+H206+H208</f>
        <v>882.4</v>
      </c>
      <c r="I203" s="88">
        <f t="shared" ref="I203:J203" si="58">I204+I206+I208</f>
        <v>700</v>
      </c>
      <c r="J203" s="88">
        <f t="shared" si="58"/>
        <v>700</v>
      </c>
    </row>
    <row r="204" spans="1:10" ht="61.15" customHeight="1" x14ac:dyDescent="0.2">
      <c r="A204" s="1"/>
      <c r="B204" s="23"/>
      <c r="C204" s="16" t="s">
        <v>59</v>
      </c>
      <c r="D204" s="16" t="s">
        <v>87</v>
      </c>
      <c r="E204" s="19" t="s">
        <v>319</v>
      </c>
      <c r="F204" s="28"/>
      <c r="G204" s="142" t="s">
        <v>366</v>
      </c>
      <c r="H204" s="82">
        <f t="shared" ref="H204:J204" si="59">H205</f>
        <v>297.39999999999998</v>
      </c>
      <c r="I204" s="82">
        <f t="shared" si="59"/>
        <v>100</v>
      </c>
      <c r="J204" s="82">
        <f t="shared" si="59"/>
        <v>100</v>
      </c>
    </row>
    <row r="205" spans="1:10" ht="38.25" x14ac:dyDescent="0.2">
      <c r="A205" s="1"/>
      <c r="B205" s="23"/>
      <c r="C205" s="16" t="s">
        <v>59</v>
      </c>
      <c r="D205" s="16" t="s">
        <v>87</v>
      </c>
      <c r="E205" s="19" t="s">
        <v>319</v>
      </c>
      <c r="F205" s="65" t="s">
        <v>119</v>
      </c>
      <c r="G205" s="75" t="s">
        <v>120</v>
      </c>
      <c r="H205" s="113">
        <f>100+47.4+150</f>
        <v>297.39999999999998</v>
      </c>
      <c r="I205" s="113">
        <v>100</v>
      </c>
      <c r="J205" s="113">
        <v>100</v>
      </c>
    </row>
    <row r="206" spans="1:10" ht="38.25" x14ac:dyDescent="0.2">
      <c r="A206" s="1"/>
      <c r="B206" s="23"/>
      <c r="C206" s="16" t="s">
        <v>59</v>
      </c>
      <c r="D206" s="16" t="s">
        <v>87</v>
      </c>
      <c r="E206" s="65" t="s">
        <v>320</v>
      </c>
      <c r="F206" s="28"/>
      <c r="G206" s="74" t="s">
        <v>110</v>
      </c>
      <c r="H206" s="82">
        <f>H207</f>
        <v>100</v>
      </c>
      <c r="I206" s="82">
        <f t="shared" ref="I206:J206" si="60">I207</f>
        <v>100</v>
      </c>
      <c r="J206" s="82">
        <f t="shared" si="60"/>
        <v>100</v>
      </c>
    </row>
    <row r="207" spans="1:10" ht="38.25" x14ac:dyDescent="0.2">
      <c r="A207" s="1"/>
      <c r="B207" s="23"/>
      <c r="C207" s="16" t="s">
        <v>59</v>
      </c>
      <c r="D207" s="16" t="s">
        <v>87</v>
      </c>
      <c r="E207" s="65" t="s">
        <v>320</v>
      </c>
      <c r="F207" s="65" t="s">
        <v>119</v>
      </c>
      <c r="G207" s="75" t="s">
        <v>120</v>
      </c>
      <c r="H207" s="82">
        <v>100</v>
      </c>
      <c r="I207" s="82">
        <v>100</v>
      </c>
      <c r="J207" s="82">
        <v>100</v>
      </c>
    </row>
    <row r="208" spans="1:10" ht="52.5" customHeight="1" x14ac:dyDescent="0.2">
      <c r="A208" s="1"/>
      <c r="B208" s="23"/>
      <c r="C208" s="16" t="s">
        <v>59</v>
      </c>
      <c r="D208" s="16" t="s">
        <v>87</v>
      </c>
      <c r="E208" s="65" t="s">
        <v>321</v>
      </c>
      <c r="F208" s="65"/>
      <c r="G208" s="75" t="s">
        <v>365</v>
      </c>
      <c r="H208" s="82">
        <f>H209</f>
        <v>485</v>
      </c>
      <c r="I208" s="82">
        <f t="shared" ref="I208:J208" si="61">I209</f>
        <v>500</v>
      </c>
      <c r="J208" s="82">
        <f t="shared" si="61"/>
        <v>500</v>
      </c>
    </row>
    <row r="209" spans="1:10" ht="38.25" x14ac:dyDescent="0.2">
      <c r="A209" s="1"/>
      <c r="B209" s="23"/>
      <c r="C209" s="16" t="s">
        <v>59</v>
      </c>
      <c r="D209" s="16" t="s">
        <v>87</v>
      </c>
      <c r="E209" s="65" t="s">
        <v>321</v>
      </c>
      <c r="F209" s="65" t="s">
        <v>119</v>
      </c>
      <c r="G209" s="75" t="s">
        <v>120</v>
      </c>
      <c r="H209" s="82">
        <f>500-15</f>
        <v>485</v>
      </c>
      <c r="I209" s="82">
        <v>500</v>
      </c>
      <c r="J209" s="82">
        <v>500</v>
      </c>
    </row>
    <row r="210" spans="1:10" ht="89.25" x14ac:dyDescent="0.2">
      <c r="A210" s="1"/>
      <c r="B210" s="23"/>
      <c r="C210" s="5" t="s">
        <v>59</v>
      </c>
      <c r="D210" s="5" t="s">
        <v>87</v>
      </c>
      <c r="E210" s="60">
        <v>400000000</v>
      </c>
      <c r="F210" s="16"/>
      <c r="G210" s="115" t="s">
        <v>207</v>
      </c>
      <c r="H210" s="86">
        <f t="shared" ref="H210:J210" si="62">H211</f>
        <v>662.9</v>
      </c>
      <c r="I210" s="86">
        <f t="shared" si="62"/>
        <v>1169</v>
      </c>
      <c r="J210" s="86">
        <f t="shared" si="62"/>
        <v>1171</v>
      </c>
    </row>
    <row r="211" spans="1:10" ht="14.25" customHeight="1" x14ac:dyDescent="0.2">
      <c r="A211" s="1"/>
      <c r="B211" s="23"/>
      <c r="C211" s="41" t="s">
        <v>59</v>
      </c>
      <c r="D211" s="41" t="s">
        <v>87</v>
      </c>
      <c r="E211" s="59">
        <v>450100000</v>
      </c>
      <c r="F211" s="28"/>
      <c r="G211" s="40" t="s">
        <v>307</v>
      </c>
      <c r="H211" s="88">
        <f>H212+H214+H216+H218+H220+H222</f>
        <v>662.9</v>
      </c>
      <c r="I211" s="88">
        <f t="shared" ref="I211:J211" si="63">I212+I214+I216+I218+I220+I222</f>
        <v>1169</v>
      </c>
      <c r="J211" s="88">
        <f t="shared" si="63"/>
        <v>1171</v>
      </c>
    </row>
    <row r="212" spans="1:10" ht="89.25" x14ac:dyDescent="0.2">
      <c r="A212" s="1"/>
      <c r="B212" s="23"/>
      <c r="C212" s="16" t="s">
        <v>59</v>
      </c>
      <c r="D212" s="16" t="s">
        <v>87</v>
      </c>
      <c r="E212" s="97" t="s">
        <v>379</v>
      </c>
      <c r="F212" s="65"/>
      <c r="G212" s="75" t="s">
        <v>378</v>
      </c>
      <c r="H212" s="113">
        <f>H213</f>
        <v>100</v>
      </c>
      <c r="I212" s="113">
        <f>I213</f>
        <v>100</v>
      </c>
      <c r="J212" s="113">
        <f>J213</f>
        <v>100</v>
      </c>
    </row>
    <row r="213" spans="1:10" ht="38.25" x14ac:dyDescent="0.2">
      <c r="A213" s="1"/>
      <c r="B213" s="23"/>
      <c r="C213" s="16" t="s">
        <v>59</v>
      </c>
      <c r="D213" s="16" t="s">
        <v>87</v>
      </c>
      <c r="E213" s="97" t="s">
        <v>379</v>
      </c>
      <c r="F213" s="65" t="s">
        <v>119</v>
      </c>
      <c r="G213" s="75" t="s">
        <v>120</v>
      </c>
      <c r="H213" s="113">
        <v>100</v>
      </c>
      <c r="I213" s="113">
        <v>100</v>
      </c>
      <c r="J213" s="113">
        <v>100</v>
      </c>
    </row>
    <row r="214" spans="1:10" ht="25.5" x14ac:dyDescent="0.2">
      <c r="A214" s="1"/>
      <c r="B214" s="23"/>
      <c r="C214" s="16" t="s">
        <v>59</v>
      </c>
      <c r="D214" s="16" t="s">
        <v>87</v>
      </c>
      <c r="E214" s="97" t="s">
        <v>381</v>
      </c>
      <c r="F214" s="65"/>
      <c r="G214" s="75" t="s">
        <v>380</v>
      </c>
      <c r="H214" s="113">
        <f>H215</f>
        <v>50</v>
      </c>
      <c r="I214" s="113">
        <f>I215</f>
        <v>50</v>
      </c>
      <c r="J214" s="113">
        <f>J215</f>
        <v>50</v>
      </c>
    </row>
    <row r="215" spans="1:10" ht="38.25" x14ac:dyDescent="0.2">
      <c r="A215" s="1"/>
      <c r="B215" s="23"/>
      <c r="C215" s="16" t="s">
        <v>59</v>
      </c>
      <c r="D215" s="16" t="s">
        <v>87</v>
      </c>
      <c r="E215" s="97" t="s">
        <v>381</v>
      </c>
      <c r="F215" s="65" t="s">
        <v>119</v>
      </c>
      <c r="G215" s="75" t="s">
        <v>120</v>
      </c>
      <c r="H215" s="113">
        <v>50</v>
      </c>
      <c r="I215" s="113">
        <v>50</v>
      </c>
      <c r="J215" s="113">
        <v>50</v>
      </c>
    </row>
    <row r="216" spans="1:10" ht="51" x14ac:dyDescent="0.2">
      <c r="A216" s="1"/>
      <c r="B216" s="23"/>
      <c r="C216" s="16" t="s">
        <v>59</v>
      </c>
      <c r="D216" s="16" t="s">
        <v>87</v>
      </c>
      <c r="E216" s="97" t="s">
        <v>383</v>
      </c>
      <c r="F216" s="65"/>
      <c r="G216" s="75" t="s">
        <v>382</v>
      </c>
      <c r="H216" s="113">
        <f>H217</f>
        <v>170</v>
      </c>
      <c r="I216" s="113">
        <f>I217</f>
        <v>170</v>
      </c>
      <c r="J216" s="113">
        <f>J217</f>
        <v>170</v>
      </c>
    </row>
    <row r="217" spans="1:10" ht="38.25" x14ac:dyDescent="0.2">
      <c r="A217" s="1"/>
      <c r="B217" s="23"/>
      <c r="C217" s="16" t="s">
        <v>59</v>
      </c>
      <c r="D217" s="16" t="s">
        <v>87</v>
      </c>
      <c r="E217" s="97" t="s">
        <v>383</v>
      </c>
      <c r="F217" s="65" t="s">
        <v>119</v>
      </c>
      <c r="G217" s="75" t="s">
        <v>120</v>
      </c>
      <c r="H217" s="113">
        <v>170</v>
      </c>
      <c r="I217" s="113">
        <v>170</v>
      </c>
      <c r="J217" s="113">
        <v>170</v>
      </c>
    </row>
    <row r="218" spans="1:10" ht="51" x14ac:dyDescent="0.2">
      <c r="A218" s="1"/>
      <c r="B218" s="23"/>
      <c r="C218" s="16" t="s">
        <v>59</v>
      </c>
      <c r="D218" s="16" t="s">
        <v>87</v>
      </c>
      <c r="E218" s="97" t="s">
        <v>401</v>
      </c>
      <c r="F218" s="65"/>
      <c r="G218" s="75" t="s">
        <v>400</v>
      </c>
      <c r="H218" s="113">
        <f>H219</f>
        <v>42.9</v>
      </c>
      <c r="I218" s="113">
        <f t="shared" ref="I218:J218" si="64">I219</f>
        <v>49</v>
      </c>
      <c r="J218" s="113">
        <f t="shared" si="64"/>
        <v>51</v>
      </c>
    </row>
    <row r="219" spans="1:10" ht="38.25" x14ac:dyDescent="0.2">
      <c r="A219" s="1"/>
      <c r="B219" s="23"/>
      <c r="C219" s="16" t="s">
        <v>59</v>
      </c>
      <c r="D219" s="16" t="s">
        <v>87</v>
      </c>
      <c r="E219" s="97" t="s">
        <v>401</v>
      </c>
      <c r="F219" s="65" t="s">
        <v>119</v>
      </c>
      <c r="G219" s="75" t="s">
        <v>120</v>
      </c>
      <c r="H219" s="113">
        <f>47.1-4.2</f>
        <v>42.9</v>
      </c>
      <c r="I219" s="113">
        <v>49</v>
      </c>
      <c r="J219" s="113">
        <v>51</v>
      </c>
    </row>
    <row r="220" spans="1:10" ht="63.75" x14ac:dyDescent="0.2">
      <c r="A220" s="1"/>
      <c r="B220" s="23"/>
      <c r="C220" s="16" t="s">
        <v>59</v>
      </c>
      <c r="D220" s="16" t="s">
        <v>87</v>
      </c>
      <c r="E220" s="97" t="s">
        <v>527</v>
      </c>
      <c r="F220" s="65"/>
      <c r="G220" s="75" t="s">
        <v>384</v>
      </c>
      <c r="H220" s="113">
        <f>H221</f>
        <v>300</v>
      </c>
      <c r="I220" s="113">
        <f>I221</f>
        <v>300</v>
      </c>
      <c r="J220" s="113">
        <f>J221</f>
        <v>300</v>
      </c>
    </row>
    <row r="221" spans="1:10" ht="63.75" x14ac:dyDescent="0.2">
      <c r="A221" s="1"/>
      <c r="B221" s="23"/>
      <c r="C221" s="16" t="s">
        <v>59</v>
      </c>
      <c r="D221" s="16" t="s">
        <v>87</v>
      </c>
      <c r="E221" s="97" t="s">
        <v>527</v>
      </c>
      <c r="F221" s="16" t="s">
        <v>10</v>
      </c>
      <c r="G221" s="75" t="s">
        <v>154</v>
      </c>
      <c r="H221" s="113">
        <v>300</v>
      </c>
      <c r="I221" s="113">
        <v>300</v>
      </c>
      <c r="J221" s="113">
        <v>300</v>
      </c>
    </row>
    <row r="222" spans="1:10" ht="63.75" x14ac:dyDescent="0.2">
      <c r="A222" s="1"/>
      <c r="B222" s="23"/>
      <c r="C222" s="16" t="s">
        <v>59</v>
      </c>
      <c r="D222" s="16" t="s">
        <v>87</v>
      </c>
      <c r="E222" s="97" t="s">
        <v>528</v>
      </c>
      <c r="F222" s="65"/>
      <c r="G222" s="75" t="s">
        <v>171</v>
      </c>
      <c r="H222" s="113">
        <f>H223</f>
        <v>0</v>
      </c>
      <c r="I222" s="113">
        <f>I223</f>
        <v>500</v>
      </c>
      <c r="J222" s="113">
        <f>J223</f>
        <v>500</v>
      </c>
    </row>
    <row r="223" spans="1:10" ht="63.75" x14ac:dyDescent="0.2">
      <c r="A223" s="1"/>
      <c r="B223" s="23"/>
      <c r="C223" s="16" t="s">
        <v>59</v>
      </c>
      <c r="D223" s="16" t="s">
        <v>87</v>
      </c>
      <c r="E223" s="97" t="s">
        <v>528</v>
      </c>
      <c r="F223" s="16" t="s">
        <v>10</v>
      </c>
      <c r="G223" s="75" t="s">
        <v>154</v>
      </c>
      <c r="H223" s="113">
        <f>500-500</f>
        <v>0</v>
      </c>
      <c r="I223" s="113">
        <v>500</v>
      </c>
      <c r="J223" s="113">
        <v>500</v>
      </c>
    </row>
    <row r="224" spans="1:10" ht="30" x14ac:dyDescent="0.25">
      <c r="A224" s="1"/>
      <c r="B224" s="23"/>
      <c r="C224" s="4" t="s">
        <v>60</v>
      </c>
      <c r="D224" s="3"/>
      <c r="E224" s="3"/>
      <c r="F224" s="3"/>
      <c r="G224" s="43" t="s">
        <v>34</v>
      </c>
      <c r="H224" s="156">
        <f>H225+H248+H293+H357</f>
        <v>254268</v>
      </c>
      <c r="I224" s="156">
        <f>I225+I248+I293+I357</f>
        <v>148724.40000000002</v>
      </c>
      <c r="J224" s="156">
        <f>J225+J248+J293+J357</f>
        <v>135807.9</v>
      </c>
    </row>
    <row r="225" spans="1:10" ht="14.25" x14ac:dyDescent="0.2">
      <c r="A225" s="1"/>
      <c r="B225" s="23"/>
      <c r="C225" s="28" t="s">
        <v>60</v>
      </c>
      <c r="D225" s="28" t="s">
        <v>53</v>
      </c>
      <c r="E225" s="28"/>
      <c r="F225" s="28"/>
      <c r="G225" s="25" t="s">
        <v>32</v>
      </c>
      <c r="H225" s="160">
        <f>H226</f>
        <v>7668.7000000000007</v>
      </c>
      <c r="I225" s="160">
        <f t="shared" ref="I225:J226" si="65">I226</f>
        <v>9971.2999999999993</v>
      </c>
      <c r="J225" s="160">
        <f t="shared" si="65"/>
        <v>8553.7999999999993</v>
      </c>
    </row>
    <row r="226" spans="1:10" ht="89.25" x14ac:dyDescent="0.2">
      <c r="A226" s="1"/>
      <c r="B226" s="23"/>
      <c r="C226" s="5" t="s">
        <v>60</v>
      </c>
      <c r="D226" s="5" t="s">
        <v>53</v>
      </c>
      <c r="E226" s="57" t="s">
        <v>107</v>
      </c>
      <c r="F226" s="16"/>
      <c r="G226" s="115" t="s">
        <v>208</v>
      </c>
      <c r="H226" s="86">
        <f>H227</f>
        <v>7668.7000000000007</v>
      </c>
      <c r="I226" s="86">
        <f t="shared" si="65"/>
        <v>9971.2999999999993</v>
      </c>
      <c r="J226" s="86">
        <f t="shared" si="65"/>
        <v>8553.7999999999993</v>
      </c>
    </row>
    <row r="227" spans="1:10" x14ac:dyDescent="0.2">
      <c r="A227" s="1"/>
      <c r="B227" s="23"/>
      <c r="C227" s="65" t="s">
        <v>60</v>
      </c>
      <c r="D227" s="65" t="s">
        <v>53</v>
      </c>
      <c r="E227" s="19" t="s">
        <v>410</v>
      </c>
      <c r="F227" s="16"/>
      <c r="G227" s="76" t="s">
        <v>307</v>
      </c>
      <c r="H227" s="88">
        <f>H228+H230+H232+H234+H236+H238+H240+H242+H244+H246</f>
        <v>7668.7000000000007</v>
      </c>
      <c r="I227" s="88">
        <f t="shared" ref="I227:J227" si="66">I228+I230+I232+I234+I236+I238+I240+I242+I244+I246</f>
        <v>9971.2999999999993</v>
      </c>
      <c r="J227" s="88">
        <f t="shared" si="66"/>
        <v>8553.7999999999993</v>
      </c>
    </row>
    <row r="228" spans="1:10" ht="52.9" customHeight="1" x14ac:dyDescent="0.25">
      <c r="A228" s="1"/>
      <c r="B228" s="23"/>
      <c r="C228" s="16" t="s">
        <v>60</v>
      </c>
      <c r="D228" s="16" t="s">
        <v>53</v>
      </c>
      <c r="E228" s="98" t="s">
        <v>412</v>
      </c>
      <c r="F228" s="3"/>
      <c r="G228" s="75" t="s">
        <v>411</v>
      </c>
      <c r="H228" s="82">
        <f>SUM(H229:H229)</f>
        <v>3436.6000000000004</v>
      </c>
      <c r="I228" s="82">
        <f>SUM(I229:I229)</f>
        <v>1150</v>
      </c>
      <c r="J228" s="82">
        <f>SUM(J229:J229)</f>
        <v>1150</v>
      </c>
    </row>
    <row r="229" spans="1:10" ht="38.25" x14ac:dyDescent="0.2">
      <c r="A229" s="1"/>
      <c r="B229" s="23"/>
      <c r="C229" s="16" t="s">
        <v>60</v>
      </c>
      <c r="D229" s="16" t="s">
        <v>53</v>
      </c>
      <c r="E229" s="98" t="s">
        <v>412</v>
      </c>
      <c r="F229" s="65" t="s">
        <v>119</v>
      </c>
      <c r="G229" s="75" t="s">
        <v>120</v>
      </c>
      <c r="H229" s="82">
        <f>1036.9+1514.4+885.3</f>
        <v>3436.6000000000004</v>
      </c>
      <c r="I229" s="82">
        <v>1150</v>
      </c>
      <c r="J229" s="82">
        <v>1150</v>
      </c>
    </row>
    <row r="230" spans="1:10" ht="39" customHeight="1" x14ac:dyDescent="0.2">
      <c r="A230" s="1"/>
      <c r="B230" s="23"/>
      <c r="C230" s="16" t="s">
        <v>60</v>
      </c>
      <c r="D230" s="16" t="s">
        <v>53</v>
      </c>
      <c r="E230" s="19" t="s">
        <v>414</v>
      </c>
      <c r="F230" s="65"/>
      <c r="G230" s="75" t="s">
        <v>413</v>
      </c>
      <c r="H230" s="113">
        <f>H231</f>
        <v>35</v>
      </c>
      <c r="I230" s="113">
        <f t="shared" ref="I230:J230" si="67">I231</f>
        <v>800</v>
      </c>
      <c r="J230" s="113">
        <f t="shared" si="67"/>
        <v>800</v>
      </c>
    </row>
    <row r="231" spans="1:10" ht="38.25" x14ac:dyDescent="0.2">
      <c r="A231" s="1"/>
      <c r="B231" s="23"/>
      <c r="C231" s="16" t="s">
        <v>60</v>
      </c>
      <c r="D231" s="16" t="s">
        <v>53</v>
      </c>
      <c r="E231" s="19" t="s">
        <v>414</v>
      </c>
      <c r="F231" s="65" t="s">
        <v>119</v>
      </c>
      <c r="G231" s="75" t="s">
        <v>120</v>
      </c>
      <c r="H231" s="113">
        <f>1500-1465</f>
        <v>35</v>
      </c>
      <c r="I231" s="113">
        <v>800</v>
      </c>
      <c r="J231" s="113">
        <v>800</v>
      </c>
    </row>
    <row r="232" spans="1:10" ht="139.9" customHeight="1" x14ac:dyDescent="0.2">
      <c r="A232" s="1"/>
      <c r="B232" s="23"/>
      <c r="C232" s="16" t="s">
        <v>60</v>
      </c>
      <c r="D232" s="16" t="s">
        <v>53</v>
      </c>
      <c r="E232" s="62">
        <v>550123490</v>
      </c>
      <c r="F232" s="16"/>
      <c r="G232" s="75" t="s">
        <v>415</v>
      </c>
      <c r="H232" s="82">
        <f>H233</f>
        <v>100</v>
      </c>
      <c r="I232" s="82">
        <f>I233</f>
        <v>100</v>
      </c>
      <c r="J232" s="82">
        <f>J233</f>
        <v>100</v>
      </c>
    </row>
    <row r="233" spans="1:10" ht="38.25" x14ac:dyDescent="0.2">
      <c r="A233" s="1"/>
      <c r="B233" s="23"/>
      <c r="C233" s="16" t="s">
        <v>60</v>
      </c>
      <c r="D233" s="16" t="s">
        <v>53</v>
      </c>
      <c r="E233" s="62">
        <v>550123490</v>
      </c>
      <c r="F233" s="65" t="s">
        <v>119</v>
      </c>
      <c r="G233" s="75" t="s">
        <v>120</v>
      </c>
      <c r="H233" s="82">
        <v>100</v>
      </c>
      <c r="I233" s="82">
        <v>100</v>
      </c>
      <c r="J233" s="82">
        <v>100</v>
      </c>
    </row>
    <row r="234" spans="1:10" ht="66.599999999999994" customHeight="1" x14ac:dyDescent="0.2">
      <c r="A234" s="1"/>
      <c r="B234" s="23"/>
      <c r="C234" s="16" t="s">
        <v>60</v>
      </c>
      <c r="D234" s="16" t="s">
        <v>53</v>
      </c>
      <c r="E234" s="62">
        <v>550123500</v>
      </c>
      <c r="F234" s="65"/>
      <c r="G234" s="75" t="s">
        <v>416</v>
      </c>
      <c r="H234" s="82">
        <f>H235</f>
        <v>45</v>
      </c>
      <c r="I234" s="82">
        <f t="shared" ref="I234:J234" si="68">I235</f>
        <v>13.2</v>
      </c>
      <c r="J234" s="82">
        <f t="shared" si="68"/>
        <v>14.5</v>
      </c>
    </row>
    <row r="235" spans="1:10" ht="38.25" x14ac:dyDescent="0.2">
      <c r="A235" s="1"/>
      <c r="B235" s="23"/>
      <c r="C235" s="16" t="s">
        <v>60</v>
      </c>
      <c r="D235" s="16" t="s">
        <v>53</v>
      </c>
      <c r="E235" s="62">
        <v>550123500</v>
      </c>
      <c r="F235" s="65" t="s">
        <v>119</v>
      </c>
      <c r="G235" s="75" t="s">
        <v>120</v>
      </c>
      <c r="H235" s="82">
        <f>12+33</f>
        <v>45</v>
      </c>
      <c r="I235" s="82">
        <v>13.2</v>
      </c>
      <c r="J235" s="82">
        <v>14.5</v>
      </c>
    </row>
    <row r="236" spans="1:10" ht="25.5" x14ac:dyDescent="0.2">
      <c r="A236" s="1"/>
      <c r="B236" s="23"/>
      <c r="C236" s="16" t="s">
        <v>60</v>
      </c>
      <c r="D236" s="16" t="s">
        <v>53</v>
      </c>
      <c r="E236" s="98" t="s">
        <v>417</v>
      </c>
      <c r="F236" s="65"/>
      <c r="G236" s="75" t="s">
        <v>173</v>
      </c>
      <c r="H236" s="82">
        <f>H237</f>
        <v>818.3</v>
      </c>
      <c r="I236" s="82">
        <f>I237</f>
        <v>702.1</v>
      </c>
      <c r="J236" s="82">
        <f>J237</f>
        <v>772.3</v>
      </c>
    </row>
    <row r="237" spans="1:10" ht="38.25" x14ac:dyDescent="0.2">
      <c r="A237" s="1"/>
      <c r="B237" s="23"/>
      <c r="C237" s="16" t="s">
        <v>60</v>
      </c>
      <c r="D237" s="16" t="s">
        <v>53</v>
      </c>
      <c r="E237" s="98" t="s">
        <v>417</v>
      </c>
      <c r="F237" s="65" t="s">
        <v>119</v>
      </c>
      <c r="G237" s="75" t="s">
        <v>120</v>
      </c>
      <c r="H237" s="82">
        <v>818.3</v>
      </c>
      <c r="I237" s="82">
        <v>702.1</v>
      </c>
      <c r="J237" s="82">
        <v>772.3</v>
      </c>
    </row>
    <row r="238" spans="1:10" ht="56.45" customHeight="1" x14ac:dyDescent="0.2">
      <c r="A238" s="1"/>
      <c r="B238" s="23"/>
      <c r="C238" s="16" t="s">
        <v>60</v>
      </c>
      <c r="D238" s="16" t="s">
        <v>53</v>
      </c>
      <c r="E238" s="62">
        <v>550123510</v>
      </c>
      <c r="F238" s="65"/>
      <c r="G238" s="75" t="s">
        <v>193</v>
      </c>
      <c r="H238" s="82">
        <f>H239</f>
        <v>0</v>
      </c>
      <c r="I238" s="82">
        <f t="shared" ref="I238:J238" si="69">I239</f>
        <v>1600</v>
      </c>
      <c r="J238" s="82">
        <f t="shared" si="69"/>
        <v>0</v>
      </c>
    </row>
    <row r="239" spans="1:10" ht="25.5" x14ac:dyDescent="0.2">
      <c r="A239" s="1"/>
      <c r="B239" s="23"/>
      <c r="C239" s="16" t="s">
        <v>60</v>
      </c>
      <c r="D239" s="16" t="s">
        <v>53</v>
      </c>
      <c r="E239" s="62">
        <v>550123510</v>
      </c>
      <c r="F239" s="65" t="s">
        <v>96</v>
      </c>
      <c r="G239" s="75" t="s">
        <v>97</v>
      </c>
      <c r="H239" s="82">
        <f>2400-2046.9-353.1</f>
        <v>0</v>
      </c>
      <c r="I239" s="82">
        <v>1600</v>
      </c>
      <c r="J239" s="82">
        <v>0</v>
      </c>
    </row>
    <row r="240" spans="1:10" ht="67.900000000000006" customHeight="1" x14ac:dyDescent="0.2">
      <c r="A240" s="1"/>
      <c r="B240" s="23"/>
      <c r="C240" s="16" t="s">
        <v>60</v>
      </c>
      <c r="D240" s="16" t="s">
        <v>53</v>
      </c>
      <c r="E240" s="62">
        <v>550123520</v>
      </c>
      <c r="F240" s="65"/>
      <c r="G240" s="75" t="s">
        <v>418</v>
      </c>
      <c r="H240" s="82">
        <f>H241</f>
        <v>0</v>
      </c>
      <c r="I240" s="82">
        <f>I241</f>
        <v>2200</v>
      </c>
      <c r="J240" s="82">
        <f>J241</f>
        <v>2200</v>
      </c>
    </row>
    <row r="241" spans="1:10" x14ac:dyDescent="0.2">
      <c r="A241" s="1"/>
      <c r="B241" s="23"/>
      <c r="C241" s="16" t="s">
        <v>60</v>
      </c>
      <c r="D241" s="16" t="s">
        <v>53</v>
      </c>
      <c r="E241" s="62">
        <v>550123520</v>
      </c>
      <c r="F241" s="65" t="s">
        <v>124</v>
      </c>
      <c r="G241" s="76" t="s">
        <v>128</v>
      </c>
      <c r="H241" s="82">
        <v>0</v>
      </c>
      <c r="I241" s="82">
        <v>2200</v>
      </c>
      <c r="J241" s="82">
        <v>2200</v>
      </c>
    </row>
    <row r="242" spans="1:10" ht="40.9" customHeight="1" x14ac:dyDescent="0.2">
      <c r="A242" s="1"/>
      <c r="B242" s="23"/>
      <c r="C242" s="16" t="s">
        <v>60</v>
      </c>
      <c r="D242" s="16" t="s">
        <v>53</v>
      </c>
      <c r="E242" s="19" t="s">
        <v>420</v>
      </c>
      <c r="F242" s="65"/>
      <c r="G242" s="76" t="s">
        <v>419</v>
      </c>
      <c r="H242" s="82">
        <f>H243</f>
        <v>500</v>
      </c>
      <c r="I242" s="82">
        <f>I243</f>
        <v>600</v>
      </c>
      <c r="J242" s="82">
        <f>J243</f>
        <v>600</v>
      </c>
    </row>
    <row r="243" spans="1:10" ht="40.9" customHeight="1" x14ac:dyDescent="0.2">
      <c r="A243" s="1"/>
      <c r="B243" s="23"/>
      <c r="C243" s="16" t="s">
        <v>60</v>
      </c>
      <c r="D243" s="16" t="s">
        <v>53</v>
      </c>
      <c r="E243" s="19" t="s">
        <v>420</v>
      </c>
      <c r="F243" s="65" t="s">
        <v>119</v>
      </c>
      <c r="G243" s="75" t="s">
        <v>120</v>
      </c>
      <c r="H243" s="82">
        <v>500</v>
      </c>
      <c r="I243" s="113">
        <v>600</v>
      </c>
      <c r="J243" s="113">
        <v>600</v>
      </c>
    </row>
    <row r="244" spans="1:10" ht="81" customHeight="1" x14ac:dyDescent="0.2">
      <c r="A244" s="1"/>
      <c r="B244" s="23"/>
      <c r="C244" s="65" t="s">
        <v>60</v>
      </c>
      <c r="D244" s="65" t="s">
        <v>53</v>
      </c>
      <c r="E244" s="62">
        <v>550123540</v>
      </c>
      <c r="F244" s="16"/>
      <c r="G244" s="75" t="s">
        <v>421</v>
      </c>
      <c r="H244" s="82">
        <f t="shared" ref="H244:J244" si="70">H245</f>
        <v>2033.8</v>
      </c>
      <c r="I244" s="82">
        <f t="shared" si="70"/>
        <v>2036</v>
      </c>
      <c r="J244" s="82">
        <f t="shared" si="70"/>
        <v>2117</v>
      </c>
    </row>
    <row r="245" spans="1:10" ht="38.25" x14ac:dyDescent="0.2">
      <c r="A245" s="1"/>
      <c r="B245" s="23"/>
      <c r="C245" s="16" t="s">
        <v>60</v>
      </c>
      <c r="D245" s="16" t="s">
        <v>53</v>
      </c>
      <c r="E245" s="62">
        <v>550123540</v>
      </c>
      <c r="F245" s="65" t="s">
        <v>119</v>
      </c>
      <c r="G245" s="75" t="s">
        <v>120</v>
      </c>
      <c r="H245" s="113">
        <f>1501.3+532.5</f>
        <v>2033.8</v>
      </c>
      <c r="I245" s="113">
        <v>2036</v>
      </c>
      <c r="J245" s="113">
        <v>2117</v>
      </c>
    </row>
    <row r="246" spans="1:10" ht="105.6" customHeight="1" x14ac:dyDescent="0.2">
      <c r="A246" s="1"/>
      <c r="B246" s="23"/>
      <c r="C246" s="16" t="s">
        <v>60</v>
      </c>
      <c r="D246" s="16" t="s">
        <v>53</v>
      </c>
      <c r="E246" s="62">
        <v>550123560</v>
      </c>
      <c r="F246" s="65"/>
      <c r="G246" s="75" t="s">
        <v>422</v>
      </c>
      <c r="H246" s="82">
        <f>H247</f>
        <v>700</v>
      </c>
      <c r="I246" s="82">
        <f t="shared" ref="I246:J246" si="71">I247</f>
        <v>770</v>
      </c>
      <c r="J246" s="82">
        <f t="shared" si="71"/>
        <v>800</v>
      </c>
    </row>
    <row r="247" spans="1:10" ht="38.25" x14ac:dyDescent="0.2">
      <c r="A247" s="1"/>
      <c r="B247" s="23"/>
      <c r="C247" s="16" t="s">
        <v>60</v>
      </c>
      <c r="D247" s="16" t="s">
        <v>53</v>
      </c>
      <c r="E247" s="62">
        <v>550123560</v>
      </c>
      <c r="F247" s="65" t="s">
        <v>119</v>
      </c>
      <c r="G247" s="75" t="s">
        <v>120</v>
      </c>
      <c r="H247" s="82">
        <v>700</v>
      </c>
      <c r="I247" s="82">
        <v>770</v>
      </c>
      <c r="J247" s="82">
        <v>800</v>
      </c>
    </row>
    <row r="248" spans="1:10" ht="14.25" x14ac:dyDescent="0.2">
      <c r="A248" s="1"/>
      <c r="B248" s="23"/>
      <c r="C248" s="28" t="s">
        <v>60</v>
      </c>
      <c r="D248" s="28" t="s">
        <v>54</v>
      </c>
      <c r="E248" s="28"/>
      <c r="F248" s="28"/>
      <c r="G248" s="25" t="s">
        <v>31</v>
      </c>
      <c r="H248" s="160">
        <f>H249+H267+H290</f>
        <v>126713.9</v>
      </c>
      <c r="I248" s="160">
        <f>I249+I267</f>
        <v>57709.5</v>
      </c>
      <c r="J248" s="160">
        <f>J249+J267</f>
        <v>45410.6</v>
      </c>
    </row>
    <row r="249" spans="1:10" ht="89.25" x14ac:dyDescent="0.2">
      <c r="A249" s="1"/>
      <c r="B249" s="23"/>
      <c r="C249" s="5" t="s">
        <v>60</v>
      </c>
      <c r="D249" s="5" t="s">
        <v>54</v>
      </c>
      <c r="E249" s="60">
        <v>400000000</v>
      </c>
      <c r="F249" s="16"/>
      <c r="G249" s="115" t="s">
        <v>207</v>
      </c>
      <c r="H249" s="86">
        <f>H250</f>
        <v>30333.599999999995</v>
      </c>
      <c r="I249" s="86">
        <f t="shared" ref="I249:J249" si="72">I250</f>
        <v>18195</v>
      </c>
      <c r="J249" s="86">
        <f t="shared" si="72"/>
        <v>13615.3</v>
      </c>
    </row>
    <row r="250" spans="1:10" ht="14.25" x14ac:dyDescent="0.2">
      <c r="A250" s="1"/>
      <c r="B250" s="23"/>
      <c r="C250" s="16" t="s">
        <v>60</v>
      </c>
      <c r="D250" s="16" t="s">
        <v>54</v>
      </c>
      <c r="E250" s="59">
        <v>450100000</v>
      </c>
      <c r="F250" s="28"/>
      <c r="G250" s="40" t="s">
        <v>307</v>
      </c>
      <c r="H250" s="82">
        <f>H251+H253+H255+H257+H259+H261+H263+H265</f>
        <v>30333.599999999995</v>
      </c>
      <c r="I250" s="82">
        <f t="shared" ref="I250:J250" si="73">I251+I253+I255+I257+I259+I261+I263</f>
        <v>18195</v>
      </c>
      <c r="J250" s="82">
        <f t="shared" si="73"/>
        <v>13615.3</v>
      </c>
    </row>
    <row r="251" spans="1:10" ht="118.9" customHeight="1" x14ac:dyDescent="0.2">
      <c r="A251" s="1"/>
      <c r="B251" s="23"/>
      <c r="C251" s="16" t="s">
        <v>60</v>
      </c>
      <c r="D251" s="16" t="s">
        <v>54</v>
      </c>
      <c r="E251" s="58">
        <v>450127330</v>
      </c>
      <c r="F251" s="16"/>
      <c r="G251" s="75" t="s">
        <v>394</v>
      </c>
      <c r="H251" s="113">
        <f>H252</f>
        <v>490.3</v>
      </c>
      <c r="I251" s="113">
        <f t="shared" ref="I251:J251" si="74">I252</f>
        <v>490.3</v>
      </c>
      <c r="J251" s="113">
        <f t="shared" si="74"/>
        <v>490.3</v>
      </c>
    </row>
    <row r="252" spans="1:10" ht="63.75" x14ac:dyDescent="0.2">
      <c r="A252" s="1"/>
      <c r="B252" s="23"/>
      <c r="C252" s="16" t="s">
        <v>60</v>
      </c>
      <c r="D252" s="16" t="s">
        <v>54</v>
      </c>
      <c r="E252" s="58">
        <v>450127330</v>
      </c>
      <c r="F252" s="16" t="s">
        <v>10</v>
      </c>
      <c r="G252" s="75" t="s">
        <v>137</v>
      </c>
      <c r="H252" s="113">
        <v>490.3</v>
      </c>
      <c r="I252" s="113">
        <v>490.3</v>
      </c>
      <c r="J252" s="113">
        <v>490.3</v>
      </c>
    </row>
    <row r="253" spans="1:10" ht="133.15" customHeight="1" x14ac:dyDescent="0.2">
      <c r="A253" s="1"/>
      <c r="B253" s="23"/>
      <c r="C253" s="16" t="s">
        <v>60</v>
      </c>
      <c r="D253" s="16" t="s">
        <v>54</v>
      </c>
      <c r="E253" s="58">
        <v>450127340</v>
      </c>
      <c r="F253" s="16"/>
      <c r="G253" s="75" t="s">
        <v>395</v>
      </c>
      <c r="H253" s="113">
        <f>H254</f>
        <v>28</v>
      </c>
      <c r="I253" s="113">
        <f t="shared" ref="I253:J253" si="75">I254</f>
        <v>17.600000000000001</v>
      </c>
      <c r="J253" s="113">
        <f t="shared" si="75"/>
        <v>17.600000000000001</v>
      </c>
    </row>
    <row r="254" spans="1:10" ht="63.75" x14ac:dyDescent="0.2">
      <c r="A254" s="1"/>
      <c r="B254" s="23"/>
      <c r="C254" s="16" t="s">
        <v>60</v>
      </c>
      <c r="D254" s="16" t="s">
        <v>54</v>
      </c>
      <c r="E254" s="58">
        <v>450127340</v>
      </c>
      <c r="F254" s="16" t="s">
        <v>10</v>
      </c>
      <c r="G254" s="75" t="s">
        <v>137</v>
      </c>
      <c r="H254" s="113">
        <f>17.6+10.4</f>
        <v>28</v>
      </c>
      <c r="I254" s="113">
        <v>17.600000000000001</v>
      </c>
      <c r="J254" s="113">
        <v>17.600000000000001</v>
      </c>
    </row>
    <row r="255" spans="1:10" ht="107.45" customHeight="1" x14ac:dyDescent="0.2">
      <c r="A255" s="1"/>
      <c r="B255" s="23"/>
      <c r="C255" s="16" t="s">
        <v>60</v>
      </c>
      <c r="D255" s="16" t="s">
        <v>54</v>
      </c>
      <c r="E255" s="58">
        <v>450127350</v>
      </c>
      <c r="F255" s="16"/>
      <c r="G255" s="75" t="s">
        <v>396</v>
      </c>
      <c r="H255" s="113">
        <f>H256</f>
        <v>8986.9000000000015</v>
      </c>
      <c r="I255" s="113">
        <f t="shared" ref="I255:J255" si="76">I256</f>
        <v>8326.4</v>
      </c>
      <c r="J255" s="113">
        <f t="shared" si="76"/>
        <v>3372.2</v>
      </c>
    </row>
    <row r="256" spans="1:10" ht="114.75" x14ac:dyDescent="0.2">
      <c r="A256" s="1"/>
      <c r="B256" s="23"/>
      <c r="C256" s="16" t="s">
        <v>60</v>
      </c>
      <c r="D256" s="16" t="s">
        <v>54</v>
      </c>
      <c r="E256" s="58">
        <v>450127350</v>
      </c>
      <c r="F256" s="65" t="s">
        <v>546</v>
      </c>
      <c r="G256" s="174" t="s">
        <v>545</v>
      </c>
      <c r="H256" s="113">
        <f>9922.7-935.8</f>
        <v>8986.9000000000015</v>
      </c>
      <c r="I256" s="113">
        <v>8326.4</v>
      </c>
      <c r="J256" s="113">
        <v>3372.2</v>
      </c>
    </row>
    <row r="257" spans="1:10" ht="154.5" customHeight="1" x14ac:dyDescent="0.2">
      <c r="A257" s="1"/>
      <c r="B257" s="23"/>
      <c r="C257" s="16" t="s">
        <v>60</v>
      </c>
      <c r="D257" s="16" t="s">
        <v>54</v>
      </c>
      <c r="E257" s="58">
        <v>450127360</v>
      </c>
      <c r="F257" s="16"/>
      <c r="G257" s="75" t="s">
        <v>399</v>
      </c>
      <c r="H257" s="113">
        <f>H258</f>
        <v>4719.3999999999996</v>
      </c>
      <c r="I257" s="113">
        <f t="shared" ref="I257:J257" si="77">I258</f>
        <v>0</v>
      </c>
      <c r="J257" s="113">
        <f t="shared" si="77"/>
        <v>0</v>
      </c>
    </row>
    <row r="258" spans="1:10" ht="63.75" x14ac:dyDescent="0.2">
      <c r="A258" s="1"/>
      <c r="B258" s="23"/>
      <c r="C258" s="16" t="s">
        <v>60</v>
      </c>
      <c r="D258" s="16" t="s">
        <v>54</v>
      </c>
      <c r="E258" s="58">
        <v>450127360</v>
      </c>
      <c r="F258" s="16" t="s">
        <v>10</v>
      </c>
      <c r="G258" s="75" t="s">
        <v>137</v>
      </c>
      <c r="H258" s="113">
        <f>4730-10.6</f>
        <v>4719.3999999999996</v>
      </c>
      <c r="I258" s="113">
        <v>0</v>
      </c>
      <c r="J258" s="113">
        <v>0</v>
      </c>
    </row>
    <row r="259" spans="1:10" ht="104.25" customHeight="1" x14ac:dyDescent="0.2">
      <c r="A259" s="1"/>
      <c r="B259" s="23"/>
      <c r="C259" s="16" t="s">
        <v>60</v>
      </c>
      <c r="D259" s="16" t="s">
        <v>54</v>
      </c>
      <c r="E259" s="58">
        <v>450127370</v>
      </c>
      <c r="F259" s="16"/>
      <c r="G259" s="75" t="s">
        <v>397</v>
      </c>
      <c r="H259" s="113">
        <f>H260</f>
        <v>4169.5</v>
      </c>
      <c r="I259" s="113">
        <f t="shared" ref="I259:J259" si="78">I260</f>
        <v>6549</v>
      </c>
      <c r="J259" s="113">
        <f t="shared" si="78"/>
        <v>6811</v>
      </c>
    </row>
    <row r="260" spans="1:10" ht="63.75" x14ac:dyDescent="0.2">
      <c r="A260" s="1"/>
      <c r="B260" s="23"/>
      <c r="C260" s="16" t="s">
        <v>60</v>
      </c>
      <c r="D260" s="16" t="s">
        <v>54</v>
      </c>
      <c r="E260" s="58">
        <v>450127370</v>
      </c>
      <c r="F260" s="16" t="s">
        <v>10</v>
      </c>
      <c r="G260" s="75" t="s">
        <v>137</v>
      </c>
      <c r="H260" s="113">
        <f>6297.2-0.1-2127.6</f>
        <v>4169.5</v>
      </c>
      <c r="I260" s="113">
        <v>6549</v>
      </c>
      <c r="J260" s="113">
        <v>6811</v>
      </c>
    </row>
    <row r="261" spans="1:10" ht="142.5" customHeight="1" x14ac:dyDescent="0.2">
      <c r="A261" s="23"/>
      <c r="B261" s="23"/>
      <c r="C261" s="16" t="s">
        <v>60</v>
      </c>
      <c r="D261" s="16" t="s">
        <v>54</v>
      </c>
      <c r="E261" s="58">
        <v>450127380</v>
      </c>
      <c r="F261" s="16"/>
      <c r="G261" s="75" t="s">
        <v>398</v>
      </c>
      <c r="H261" s="113">
        <f>H262</f>
        <v>2703.6</v>
      </c>
      <c r="I261" s="113">
        <f t="shared" ref="I261:J261" si="79">I262</f>
        <v>2811.7</v>
      </c>
      <c r="J261" s="113">
        <f t="shared" si="79"/>
        <v>2924.2</v>
      </c>
    </row>
    <row r="262" spans="1:10" ht="63.75" x14ac:dyDescent="0.2">
      <c r="A262" s="1"/>
      <c r="B262"/>
      <c r="C262" s="16" t="s">
        <v>60</v>
      </c>
      <c r="D262" s="16" t="s">
        <v>54</v>
      </c>
      <c r="E262" s="58">
        <v>450127380</v>
      </c>
      <c r="F262" s="65" t="s">
        <v>10</v>
      </c>
      <c r="G262" s="75" t="s">
        <v>137</v>
      </c>
      <c r="H262" s="113">
        <v>2703.6</v>
      </c>
      <c r="I262" s="113">
        <v>2811.7</v>
      </c>
      <c r="J262" s="113">
        <v>2924.2</v>
      </c>
    </row>
    <row r="263" spans="1:10" ht="123.75" customHeight="1" x14ac:dyDescent="0.25">
      <c r="A263" s="1"/>
      <c r="B263"/>
      <c r="C263" s="16" t="s">
        <v>60</v>
      </c>
      <c r="D263" s="16" t="s">
        <v>54</v>
      </c>
      <c r="E263" s="58">
        <v>450127390</v>
      </c>
      <c r="F263" s="16"/>
      <c r="G263" s="177" t="s">
        <v>569</v>
      </c>
      <c r="H263" s="113">
        <f>H264</f>
        <v>7108.3</v>
      </c>
      <c r="I263" s="113">
        <f t="shared" ref="I263:J263" si="80">I264</f>
        <v>0</v>
      </c>
      <c r="J263" s="113">
        <f t="shared" si="80"/>
        <v>0</v>
      </c>
    </row>
    <row r="264" spans="1:10" ht="63.75" x14ac:dyDescent="0.2">
      <c r="A264" s="1"/>
      <c r="B264"/>
      <c r="C264" s="16" t="s">
        <v>60</v>
      </c>
      <c r="D264" s="16" t="s">
        <v>54</v>
      </c>
      <c r="E264" s="58">
        <v>450127390</v>
      </c>
      <c r="F264" s="65" t="s">
        <v>10</v>
      </c>
      <c r="G264" s="75" t="s">
        <v>137</v>
      </c>
      <c r="H264" s="113">
        <v>7108.3</v>
      </c>
      <c r="I264" s="113">
        <v>0</v>
      </c>
      <c r="J264" s="113">
        <v>0</v>
      </c>
    </row>
    <row r="265" spans="1:10" ht="78.75" customHeight="1" x14ac:dyDescent="0.2">
      <c r="A265" s="1"/>
      <c r="B265"/>
      <c r="C265" s="16" t="s">
        <v>60</v>
      </c>
      <c r="D265" s="16" t="s">
        <v>54</v>
      </c>
      <c r="E265" s="58">
        <v>450127410</v>
      </c>
      <c r="F265" s="16"/>
      <c r="G265" s="74" t="s">
        <v>609</v>
      </c>
      <c r="H265" s="113">
        <f>H266</f>
        <v>2127.6</v>
      </c>
      <c r="I265" s="113">
        <f t="shared" ref="I265:J265" si="81">I266</f>
        <v>0</v>
      </c>
      <c r="J265" s="113">
        <f t="shared" si="81"/>
        <v>0</v>
      </c>
    </row>
    <row r="266" spans="1:10" ht="63.75" x14ac:dyDescent="0.2">
      <c r="A266" s="1"/>
      <c r="B266"/>
      <c r="C266" s="16" t="s">
        <v>60</v>
      </c>
      <c r="D266" s="16" t="s">
        <v>54</v>
      </c>
      <c r="E266" s="58">
        <v>450127410</v>
      </c>
      <c r="F266" s="65" t="s">
        <v>10</v>
      </c>
      <c r="G266" s="75" t="s">
        <v>137</v>
      </c>
      <c r="H266" s="113">
        <v>2127.6</v>
      </c>
      <c r="I266" s="113">
        <v>0</v>
      </c>
      <c r="J266" s="113">
        <v>0</v>
      </c>
    </row>
    <row r="267" spans="1:10" ht="128.25" x14ac:dyDescent="0.2">
      <c r="A267" s="1"/>
      <c r="B267" s="23"/>
      <c r="C267" s="5" t="s">
        <v>60</v>
      </c>
      <c r="D267" s="5" t="s">
        <v>54</v>
      </c>
      <c r="E267" s="64" t="s">
        <v>43</v>
      </c>
      <c r="F267" s="16"/>
      <c r="G267" s="140" t="s">
        <v>209</v>
      </c>
      <c r="H267" s="86">
        <f>H268+H271</f>
        <v>96330.3</v>
      </c>
      <c r="I267" s="86">
        <f t="shared" ref="I267:J267" si="82">I268+I271</f>
        <v>39514.5</v>
      </c>
      <c r="J267" s="86">
        <f t="shared" si="82"/>
        <v>31795.3</v>
      </c>
    </row>
    <row r="268" spans="1:10" ht="76.5" customHeight="1" x14ac:dyDescent="0.2">
      <c r="A268" s="1"/>
      <c r="B268" s="23"/>
      <c r="C268" s="41" t="s">
        <v>60</v>
      </c>
      <c r="D268" s="41" t="s">
        <v>54</v>
      </c>
      <c r="E268" s="46" t="s">
        <v>346</v>
      </c>
      <c r="F268" s="16"/>
      <c r="G268" s="42" t="s">
        <v>345</v>
      </c>
      <c r="H268" s="88">
        <f>H269</f>
        <v>23777.200000000001</v>
      </c>
      <c r="I268" s="88">
        <f t="shared" ref="I268:J268" si="83">I269</f>
        <v>15000</v>
      </c>
      <c r="J268" s="88">
        <f t="shared" si="83"/>
        <v>15000</v>
      </c>
    </row>
    <row r="269" spans="1:10" ht="196.5" customHeight="1" x14ac:dyDescent="0.25">
      <c r="A269" s="1"/>
      <c r="B269" s="23"/>
      <c r="C269" s="16" t="s">
        <v>60</v>
      </c>
      <c r="D269" s="16" t="s">
        <v>54</v>
      </c>
      <c r="E269" s="19" t="s">
        <v>604</v>
      </c>
      <c r="F269" s="3"/>
      <c r="G269" s="75" t="s">
        <v>605</v>
      </c>
      <c r="H269" s="82">
        <f t="shared" ref="H269:J269" si="84">H270</f>
        <v>23777.200000000001</v>
      </c>
      <c r="I269" s="82">
        <f t="shared" si="84"/>
        <v>15000</v>
      </c>
      <c r="J269" s="82">
        <f t="shared" si="84"/>
        <v>15000</v>
      </c>
    </row>
    <row r="270" spans="1:10" ht="38.25" x14ac:dyDescent="0.2">
      <c r="A270" s="1"/>
      <c r="B270" s="23"/>
      <c r="C270" s="16" t="s">
        <v>60</v>
      </c>
      <c r="D270" s="16" t="s">
        <v>54</v>
      </c>
      <c r="E270" s="19" t="s">
        <v>604</v>
      </c>
      <c r="F270" s="65" t="s">
        <v>119</v>
      </c>
      <c r="G270" s="75" t="s">
        <v>120</v>
      </c>
      <c r="H270" s="82">
        <f>11535.1+19021.8-6779.7</f>
        <v>23777.200000000001</v>
      </c>
      <c r="I270" s="82">
        <v>15000</v>
      </c>
      <c r="J270" s="82">
        <v>15000</v>
      </c>
    </row>
    <row r="271" spans="1:10" ht="38.25" x14ac:dyDescent="0.2">
      <c r="A271" s="1"/>
      <c r="B271" s="23"/>
      <c r="C271" s="16" t="s">
        <v>60</v>
      </c>
      <c r="D271" s="16" t="s">
        <v>54</v>
      </c>
      <c r="E271" s="46" t="s">
        <v>348</v>
      </c>
      <c r="F271" s="65"/>
      <c r="G271" s="51" t="s">
        <v>347</v>
      </c>
      <c r="H271" s="88">
        <f>H274+H276+H278+H280+H282+H284+H272+H286+H288</f>
        <v>72553.100000000006</v>
      </c>
      <c r="I271" s="88">
        <f>I274+I276+I278+I280+I282+I284+I272+I286+I288</f>
        <v>24514.5</v>
      </c>
      <c r="J271" s="88">
        <f>J274+J276+J278+J280+J282+J284+J272+J286+J288</f>
        <v>16795.3</v>
      </c>
    </row>
    <row r="272" spans="1:10" ht="38.25" x14ac:dyDescent="0.2">
      <c r="A272" s="1"/>
      <c r="B272" s="23"/>
      <c r="C272" s="16" t="s">
        <v>60</v>
      </c>
      <c r="D272" s="16" t="s">
        <v>54</v>
      </c>
      <c r="E272" s="19" t="s">
        <v>350</v>
      </c>
      <c r="F272" s="16"/>
      <c r="G272" s="75" t="s">
        <v>349</v>
      </c>
      <c r="H272" s="82">
        <f>H273</f>
        <v>2035.8999999999999</v>
      </c>
      <c r="I272" s="82">
        <f t="shared" ref="I272:J272" si="85">I273</f>
        <v>2000</v>
      </c>
      <c r="J272" s="82">
        <f t="shared" si="85"/>
        <v>2000</v>
      </c>
    </row>
    <row r="273" spans="1:10" ht="38.25" x14ac:dyDescent="0.2">
      <c r="A273" s="1"/>
      <c r="B273" s="23"/>
      <c r="C273" s="16" t="s">
        <v>60</v>
      </c>
      <c r="D273" s="16" t="s">
        <v>54</v>
      </c>
      <c r="E273" s="19" t="s">
        <v>350</v>
      </c>
      <c r="F273" s="65" t="s">
        <v>119</v>
      </c>
      <c r="G273" s="75" t="s">
        <v>120</v>
      </c>
      <c r="H273" s="82">
        <f>3115-1304.7+225.6</f>
        <v>2035.8999999999999</v>
      </c>
      <c r="I273" s="82">
        <v>2000</v>
      </c>
      <c r="J273" s="82">
        <v>2000</v>
      </c>
    </row>
    <row r="274" spans="1:10" ht="28.5" customHeight="1" x14ac:dyDescent="0.2">
      <c r="A274" s="1"/>
      <c r="B274" s="23"/>
      <c r="C274" s="16" t="s">
        <v>60</v>
      </c>
      <c r="D274" s="16" t="s">
        <v>54</v>
      </c>
      <c r="E274" s="19" t="s">
        <v>352</v>
      </c>
      <c r="F274" s="16"/>
      <c r="G274" s="75" t="s">
        <v>351</v>
      </c>
      <c r="H274" s="82">
        <f>H275</f>
        <v>622.6</v>
      </c>
      <c r="I274" s="82">
        <f t="shared" ref="I274:J274" si="86">I275</f>
        <v>694.5</v>
      </c>
      <c r="J274" s="82">
        <f t="shared" si="86"/>
        <v>764</v>
      </c>
    </row>
    <row r="275" spans="1:10" ht="38.25" x14ac:dyDescent="0.2">
      <c r="A275" s="1"/>
      <c r="B275" s="23"/>
      <c r="C275" s="16" t="s">
        <v>60</v>
      </c>
      <c r="D275" s="16" t="s">
        <v>54</v>
      </c>
      <c r="E275" s="19" t="s">
        <v>352</v>
      </c>
      <c r="F275" s="65" t="s">
        <v>119</v>
      </c>
      <c r="G275" s="75" t="s">
        <v>120</v>
      </c>
      <c r="H275" s="82">
        <f>605.6+17</f>
        <v>622.6</v>
      </c>
      <c r="I275" s="82">
        <v>694.5</v>
      </c>
      <c r="J275" s="82">
        <v>764</v>
      </c>
    </row>
    <row r="276" spans="1:10" ht="25.5" x14ac:dyDescent="0.2">
      <c r="A276" s="1"/>
      <c r="B276" s="23"/>
      <c r="C276" s="16" t="s">
        <v>60</v>
      </c>
      <c r="D276" s="16" t="s">
        <v>54</v>
      </c>
      <c r="E276" s="19" t="s">
        <v>353</v>
      </c>
      <c r="F276" s="65"/>
      <c r="G276" s="141" t="s">
        <v>147</v>
      </c>
      <c r="H276" s="82">
        <f>H277</f>
        <v>20</v>
      </c>
      <c r="I276" s="82">
        <f t="shared" ref="I276:J276" si="87">I277</f>
        <v>25</v>
      </c>
      <c r="J276" s="82">
        <f t="shared" si="87"/>
        <v>30</v>
      </c>
    </row>
    <row r="277" spans="1:10" ht="38.25" x14ac:dyDescent="0.2">
      <c r="A277" s="1"/>
      <c r="B277" s="23"/>
      <c r="C277" s="16" t="s">
        <v>60</v>
      </c>
      <c r="D277" s="16" t="s">
        <v>54</v>
      </c>
      <c r="E277" s="19" t="s">
        <v>353</v>
      </c>
      <c r="F277" s="65" t="s">
        <v>119</v>
      </c>
      <c r="G277" s="75" t="s">
        <v>120</v>
      </c>
      <c r="H277" s="82">
        <f>20-17+17</f>
        <v>20</v>
      </c>
      <c r="I277" s="82">
        <v>25</v>
      </c>
      <c r="J277" s="82">
        <v>30</v>
      </c>
    </row>
    <row r="278" spans="1:10" ht="54" customHeight="1" x14ac:dyDescent="0.2">
      <c r="A278" s="1"/>
      <c r="B278" s="23"/>
      <c r="C278" s="16" t="s">
        <v>60</v>
      </c>
      <c r="D278" s="16" t="s">
        <v>54</v>
      </c>
      <c r="E278" s="19" t="s">
        <v>355</v>
      </c>
      <c r="F278" s="16"/>
      <c r="G278" s="74" t="s">
        <v>354</v>
      </c>
      <c r="H278" s="82">
        <f>H279</f>
        <v>302</v>
      </c>
      <c r="I278" s="82">
        <f>I279</f>
        <v>350</v>
      </c>
      <c r="J278" s="82">
        <f>J279</f>
        <v>400</v>
      </c>
    </row>
    <row r="279" spans="1:10" ht="38.25" x14ac:dyDescent="0.2">
      <c r="A279" s="1"/>
      <c r="B279" s="23"/>
      <c r="C279" s="16" t="s">
        <v>60</v>
      </c>
      <c r="D279" s="16" t="s">
        <v>54</v>
      </c>
      <c r="E279" s="19" t="s">
        <v>355</v>
      </c>
      <c r="F279" s="65" t="s">
        <v>119</v>
      </c>
      <c r="G279" s="75" t="s">
        <v>120</v>
      </c>
      <c r="H279" s="82">
        <v>302</v>
      </c>
      <c r="I279" s="82">
        <v>350</v>
      </c>
      <c r="J279" s="82">
        <v>400</v>
      </c>
    </row>
    <row r="280" spans="1:10" ht="43.5" customHeight="1" x14ac:dyDescent="0.2">
      <c r="A280" s="1"/>
      <c r="B280" s="23"/>
      <c r="C280" s="16" t="s">
        <v>60</v>
      </c>
      <c r="D280" s="16" t="s">
        <v>54</v>
      </c>
      <c r="E280" s="19" t="s">
        <v>357</v>
      </c>
      <c r="F280" s="65"/>
      <c r="G280" s="75" t="s">
        <v>356</v>
      </c>
      <c r="H280" s="82">
        <f>SUM(H281:H281)</f>
        <v>7433.1</v>
      </c>
      <c r="I280" s="82">
        <f>SUM(I281:I281)</f>
        <v>5000</v>
      </c>
      <c r="J280" s="82">
        <f>SUM(J281:J281)</f>
        <v>5000</v>
      </c>
    </row>
    <row r="281" spans="1:10" ht="38.25" x14ac:dyDescent="0.2">
      <c r="A281" s="1"/>
      <c r="B281" s="23"/>
      <c r="C281" s="16" t="s">
        <v>60</v>
      </c>
      <c r="D281" s="16" t="s">
        <v>54</v>
      </c>
      <c r="E281" s="19" t="s">
        <v>357</v>
      </c>
      <c r="F281" s="65" t="s">
        <v>119</v>
      </c>
      <c r="G281" s="75" t="s">
        <v>120</v>
      </c>
      <c r="H281" s="82">
        <f>2974.5+2500+2000-41.4</f>
        <v>7433.1</v>
      </c>
      <c r="I281" s="82">
        <v>5000</v>
      </c>
      <c r="J281" s="82">
        <v>5000</v>
      </c>
    </row>
    <row r="282" spans="1:10" ht="54.75" customHeight="1" x14ac:dyDescent="0.2">
      <c r="A282" s="1"/>
      <c r="B282" s="23"/>
      <c r="C282" s="16" t="s">
        <v>60</v>
      </c>
      <c r="D282" s="16" t="s">
        <v>54</v>
      </c>
      <c r="E282" s="19" t="s">
        <v>358</v>
      </c>
      <c r="F282" s="16"/>
      <c r="G282" s="75" t="s">
        <v>404</v>
      </c>
      <c r="H282" s="82">
        <f t="shared" ref="H282:J282" si="88">H283</f>
        <v>345</v>
      </c>
      <c r="I282" s="82">
        <f t="shared" si="88"/>
        <v>0</v>
      </c>
      <c r="J282" s="82">
        <f t="shared" si="88"/>
        <v>0</v>
      </c>
    </row>
    <row r="283" spans="1:10" ht="38.25" x14ac:dyDescent="0.2">
      <c r="A283" s="1"/>
      <c r="B283" s="23"/>
      <c r="C283" s="16" t="s">
        <v>60</v>
      </c>
      <c r="D283" s="16" t="s">
        <v>54</v>
      </c>
      <c r="E283" s="19" t="s">
        <v>358</v>
      </c>
      <c r="F283" s="65" t="s">
        <v>119</v>
      </c>
      <c r="G283" s="75" t="s">
        <v>120</v>
      </c>
      <c r="H283" s="82">
        <f>200+145</f>
        <v>345</v>
      </c>
      <c r="I283" s="82">
        <v>0</v>
      </c>
      <c r="J283" s="82">
        <v>0</v>
      </c>
    </row>
    <row r="284" spans="1:10" ht="25.5" x14ac:dyDescent="0.2">
      <c r="A284" s="1"/>
      <c r="B284" s="23"/>
      <c r="C284" s="16" t="s">
        <v>60</v>
      </c>
      <c r="D284" s="16" t="s">
        <v>54</v>
      </c>
      <c r="E284" s="19" t="s">
        <v>359</v>
      </c>
      <c r="F284" s="65"/>
      <c r="G284" s="75" t="s">
        <v>155</v>
      </c>
      <c r="H284" s="82">
        <f>H285</f>
        <v>8697.1</v>
      </c>
      <c r="I284" s="82">
        <f t="shared" ref="I284:J284" si="89">I285</f>
        <v>16445</v>
      </c>
      <c r="J284" s="82">
        <f t="shared" si="89"/>
        <v>8601.2999999999993</v>
      </c>
    </row>
    <row r="285" spans="1:10" x14ac:dyDescent="0.2">
      <c r="A285" s="1"/>
      <c r="B285" s="23"/>
      <c r="C285" s="16" t="s">
        <v>60</v>
      </c>
      <c r="D285" s="16" t="s">
        <v>54</v>
      </c>
      <c r="E285" s="19" t="s">
        <v>359</v>
      </c>
      <c r="F285" s="65" t="s">
        <v>124</v>
      </c>
      <c r="G285" s="76" t="s">
        <v>128</v>
      </c>
      <c r="H285" s="82">
        <f>9067.7-370.6</f>
        <v>8697.1</v>
      </c>
      <c r="I285" s="82">
        <v>16445</v>
      </c>
      <c r="J285" s="82">
        <v>8601.2999999999993</v>
      </c>
    </row>
    <row r="286" spans="1:10" ht="38.25" customHeight="1" x14ac:dyDescent="0.2">
      <c r="A286" s="1"/>
      <c r="B286" s="23"/>
      <c r="C286" s="16" t="s">
        <v>60</v>
      </c>
      <c r="D286" s="16" t="s">
        <v>54</v>
      </c>
      <c r="E286" s="19" t="s">
        <v>559</v>
      </c>
      <c r="F286" s="65"/>
      <c r="G286" s="75" t="s">
        <v>560</v>
      </c>
      <c r="H286" s="82">
        <f>H287</f>
        <v>3097.4</v>
      </c>
      <c r="I286" s="82">
        <f t="shared" ref="I286:J286" si="90">I287</f>
        <v>0</v>
      </c>
      <c r="J286" s="82">
        <f t="shared" si="90"/>
        <v>0</v>
      </c>
    </row>
    <row r="287" spans="1:10" ht="38.25" x14ac:dyDescent="0.2">
      <c r="A287" s="1"/>
      <c r="B287" s="23"/>
      <c r="C287" s="16" t="s">
        <v>60</v>
      </c>
      <c r="D287" s="16" t="s">
        <v>54</v>
      </c>
      <c r="E287" s="19" t="s">
        <v>559</v>
      </c>
      <c r="F287" s="65" t="s">
        <v>119</v>
      </c>
      <c r="G287" s="75" t="s">
        <v>120</v>
      </c>
      <c r="H287" s="82">
        <v>3097.4</v>
      </c>
      <c r="I287" s="82">
        <v>0</v>
      </c>
      <c r="J287" s="82">
        <v>0</v>
      </c>
    </row>
    <row r="288" spans="1:10" ht="25.5" x14ac:dyDescent="0.2">
      <c r="A288" s="1"/>
      <c r="B288" s="23"/>
      <c r="C288" s="16" t="s">
        <v>60</v>
      </c>
      <c r="D288" s="16" t="s">
        <v>54</v>
      </c>
      <c r="E288" s="19" t="s">
        <v>601</v>
      </c>
      <c r="F288" s="65"/>
      <c r="G288" s="75" t="s">
        <v>600</v>
      </c>
      <c r="H288" s="82">
        <f>H289</f>
        <v>50000</v>
      </c>
      <c r="I288" s="82">
        <f t="shared" ref="I288:J288" si="91">I289</f>
        <v>0</v>
      </c>
      <c r="J288" s="82">
        <f t="shared" si="91"/>
        <v>0</v>
      </c>
    </row>
    <row r="289" spans="1:10" x14ac:dyDescent="0.2">
      <c r="A289" s="1"/>
      <c r="B289" s="23"/>
      <c r="C289" s="16" t="s">
        <v>60</v>
      </c>
      <c r="D289" s="16" t="s">
        <v>54</v>
      </c>
      <c r="E289" s="19" t="s">
        <v>601</v>
      </c>
      <c r="F289" s="65" t="s">
        <v>124</v>
      </c>
      <c r="G289" s="76" t="s">
        <v>128</v>
      </c>
      <c r="H289" s="82">
        <v>50000</v>
      </c>
      <c r="I289" s="82">
        <v>0</v>
      </c>
      <c r="J289" s="82">
        <v>0</v>
      </c>
    </row>
    <row r="290" spans="1:10" ht="38.25" x14ac:dyDescent="0.2">
      <c r="A290" s="1"/>
      <c r="B290" s="23"/>
      <c r="C290" s="16" t="s">
        <v>60</v>
      </c>
      <c r="D290" s="16" t="s">
        <v>54</v>
      </c>
      <c r="E290" s="65" t="s">
        <v>22</v>
      </c>
      <c r="F290" s="65"/>
      <c r="G290" s="76" t="s">
        <v>28</v>
      </c>
      <c r="H290" s="182">
        <f>H291</f>
        <v>50</v>
      </c>
      <c r="I290" s="182">
        <f t="shared" ref="I290:J290" si="92">I291</f>
        <v>0</v>
      </c>
      <c r="J290" s="182">
        <f t="shared" si="92"/>
        <v>0</v>
      </c>
    </row>
    <row r="291" spans="1:10" ht="51" x14ac:dyDescent="0.2">
      <c r="A291" s="1"/>
      <c r="B291" s="23"/>
      <c r="C291" s="16" t="s">
        <v>60</v>
      </c>
      <c r="D291" s="16" t="s">
        <v>54</v>
      </c>
      <c r="E291" s="65" t="s">
        <v>598</v>
      </c>
      <c r="F291" s="16"/>
      <c r="G291" s="106" t="s">
        <v>607</v>
      </c>
      <c r="H291" s="182">
        <f>SUM(H292:H292)</f>
        <v>50</v>
      </c>
      <c r="I291" s="182">
        <f>SUM(I292:I292)</f>
        <v>0</v>
      </c>
      <c r="J291" s="182">
        <f>SUM(J292:J292)</f>
        <v>0</v>
      </c>
    </row>
    <row r="292" spans="1:10" ht="38.25" x14ac:dyDescent="0.2">
      <c r="A292" s="1"/>
      <c r="B292" s="23"/>
      <c r="C292" s="16" t="s">
        <v>60</v>
      </c>
      <c r="D292" s="16" t="s">
        <v>54</v>
      </c>
      <c r="E292" s="65" t="s">
        <v>598</v>
      </c>
      <c r="F292" s="65" t="s">
        <v>119</v>
      </c>
      <c r="G292" s="75" t="s">
        <v>120</v>
      </c>
      <c r="H292" s="37">
        <v>50</v>
      </c>
      <c r="I292" s="37">
        <v>0</v>
      </c>
      <c r="J292" s="37">
        <v>0</v>
      </c>
    </row>
    <row r="293" spans="1:10" ht="14.25" x14ac:dyDescent="0.2">
      <c r="A293" s="1"/>
      <c r="B293" s="23"/>
      <c r="C293" s="28" t="s">
        <v>60</v>
      </c>
      <c r="D293" s="28" t="s">
        <v>58</v>
      </c>
      <c r="E293" s="28"/>
      <c r="F293" s="28"/>
      <c r="G293" s="25" t="s">
        <v>35</v>
      </c>
      <c r="H293" s="160">
        <f>H294+H327+H341+H354</f>
        <v>117737.2</v>
      </c>
      <c r="I293" s="160">
        <f t="shared" ref="I293:J293" si="93">I294+I327+I341+I354</f>
        <v>78814.400000000009</v>
      </c>
      <c r="J293" s="160">
        <f t="shared" si="93"/>
        <v>79525.5</v>
      </c>
    </row>
    <row r="294" spans="1:10" ht="114" x14ac:dyDescent="0.2">
      <c r="A294" s="1"/>
      <c r="B294" s="23"/>
      <c r="C294" s="5" t="s">
        <v>60</v>
      </c>
      <c r="D294" s="5" t="s">
        <v>58</v>
      </c>
      <c r="E294" s="57" t="s">
        <v>324</v>
      </c>
      <c r="F294" s="16"/>
      <c r="G294" s="140" t="s">
        <v>213</v>
      </c>
      <c r="H294" s="86">
        <f>H295+H298</f>
        <v>78002.3</v>
      </c>
      <c r="I294" s="86">
        <f t="shared" ref="I294:J294" si="94">I295+I298</f>
        <v>78814.400000000009</v>
      </c>
      <c r="J294" s="86">
        <f t="shared" si="94"/>
        <v>79525.5</v>
      </c>
    </row>
    <row r="295" spans="1:10" ht="165" x14ac:dyDescent="0.2">
      <c r="A295" s="1"/>
      <c r="B295" s="23"/>
      <c r="C295" s="65" t="s">
        <v>60</v>
      </c>
      <c r="D295" s="65" t="s">
        <v>58</v>
      </c>
      <c r="E295" s="19" t="s">
        <v>597</v>
      </c>
      <c r="F295" s="16"/>
      <c r="G295" s="120" t="s">
        <v>594</v>
      </c>
      <c r="H295" s="113">
        <f>H296</f>
        <v>998</v>
      </c>
      <c r="I295" s="113">
        <f t="shared" ref="I295:J295" si="95">I296</f>
        <v>0</v>
      </c>
      <c r="J295" s="113">
        <f t="shared" si="95"/>
        <v>0</v>
      </c>
    </row>
    <row r="296" spans="1:10" ht="45" x14ac:dyDescent="0.2">
      <c r="A296" s="1"/>
      <c r="B296" s="23"/>
      <c r="C296" s="65" t="s">
        <v>60</v>
      </c>
      <c r="D296" s="65" t="s">
        <v>58</v>
      </c>
      <c r="E296" s="19" t="s">
        <v>596</v>
      </c>
      <c r="F296" s="16"/>
      <c r="G296" s="120" t="s">
        <v>595</v>
      </c>
      <c r="H296" s="113">
        <f>H297</f>
        <v>998</v>
      </c>
      <c r="I296" s="113">
        <f t="shared" ref="I296:J296" si="96">I297</f>
        <v>0</v>
      </c>
      <c r="J296" s="113">
        <f t="shared" si="96"/>
        <v>0</v>
      </c>
    </row>
    <row r="297" spans="1:10" ht="38.25" x14ac:dyDescent="0.2">
      <c r="A297" s="1"/>
      <c r="B297" s="23"/>
      <c r="C297" s="65" t="s">
        <v>60</v>
      </c>
      <c r="D297" s="65" t="s">
        <v>58</v>
      </c>
      <c r="E297" s="19" t="s">
        <v>596</v>
      </c>
      <c r="F297" s="65" t="s">
        <v>119</v>
      </c>
      <c r="G297" s="75" t="s">
        <v>120</v>
      </c>
      <c r="H297" s="113">
        <f>798.4+199.6</f>
        <v>998</v>
      </c>
      <c r="I297" s="113">
        <v>0</v>
      </c>
      <c r="J297" s="113">
        <v>0</v>
      </c>
    </row>
    <row r="298" spans="1:10" x14ac:dyDescent="0.2">
      <c r="A298" s="1"/>
      <c r="B298" s="23"/>
      <c r="C298" s="65" t="s">
        <v>60</v>
      </c>
      <c r="D298" s="65" t="s">
        <v>58</v>
      </c>
      <c r="E298" s="46" t="s">
        <v>344</v>
      </c>
      <c r="F298" s="41"/>
      <c r="G298" s="42" t="s">
        <v>307</v>
      </c>
      <c r="H298" s="88">
        <f>H299+H301+H303+H305+H307+H309+H311+H313+H315+H317+H319+H321+H323+H325</f>
        <v>77004.3</v>
      </c>
      <c r="I298" s="88">
        <f t="shared" ref="I298:J298" si="97">I299+I301+I303+I305+I307+I309+I311+I313+I315+I317+I319+I321+I323+I325</f>
        <v>78814.400000000009</v>
      </c>
      <c r="J298" s="88">
        <f t="shared" si="97"/>
        <v>79525.5</v>
      </c>
    </row>
    <row r="299" spans="1:10" ht="39" customHeight="1" x14ac:dyDescent="0.2">
      <c r="A299" s="1"/>
      <c r="B299" s="23"/>
      <c r="C299" s="65" t="s">
        <v>60</v>
      </c>
      <c r="D299" s="65" t="s">
        <v>58</v>
      </c>
      <c r="E299" s="99" t="s">
        <v>439</v>
      </c>
      <c r="F299" s="16"/>
      <c r="G299" s="75" t="s">
        <v>333</v>
      </c>
      <c r="H299" s="82">
        <f t="shared" ref="H299:J299" si="98">H300</f>
        <v>4977.9999999999991</v>
      </c>
      <c r="I299" s="82">
        <f t="shared" si="98"/>
        <v>4795.3999999999996</v>
      </c>
      <c r="J299" s="82">
        <f t="shared" si="98"/>
        <v>4795.3999999999996</v>
      </c>
    </row>
    <row r="300" spans="1:10" ht="38.25" x14ac:dyDescent="0.2">
      <c r="A300" s="1"/>
      <c r="B300" s="23"/>
      <c r="C300" s="65" t="s">
        <v>60</v>
      </c>
      <c r="D300" s="65" t="s">
        <v>58</v>
      </c>
      <c r="E300" s="99" t="s">
        <v>439</v>
      </c>
      <c r="F300" s="65" t="s">
        <v>119</v>
      </c>
      <c r="G300" s="75" t="s">
        <v>120</v>
      </c>
      <c r="H300" s="82">
        <f>4795.4+80+152.2-199.6+150</f>
        <v>4977.9999999999991</v>
      </c>
      <c r="I300" s="82">
        <v>4795.3999999999996</v>
      </c>
      <c r="J300" s="82">
        <v>4795.3999999999996</v>
      </c>
    </row>
    <row r="301" spans="1:10" ht="41.25" customHeight="1" x14ac:dyDescent="0.2">
      <c r="A301" s="1"/>
      <c r="B301" s="23"/>
      <c r="C301" s="16" t="s">
        <v>60</v>
      </c>
      <c r="D301" s="65" t="s">
        <v>58</v>
      </c>
      <c r="E301" s="58">
        <v>1050123810</v>
      </c>
      <c r="F301" s="19"/>
      <c r="G301" s="75" t="s">
        <v>334</v>
      </c>
      <c r="H301" s="82">
        <f>H302</f>
        <v>1347.9</v>
      </c>
      <c r="I301" s="82">
        <f>I302</f>
        <v>1147.9000000000001</v>
      </c>
      <c r="J301" s="82">
        <f>J302</f>
        <v>1147.9000000000001</v>
      </c>
    </row>
    <row r="302" spans="1:10" ht="38.25" x14ac:dyDescent="0.2">
      <c r="A302" s="1"/>
      <c r="B302" s="23"/>
      <c r="C302" s="65" t="s">
        <v>60</v>
      </c>
      <c r="D302" s="65" t="s">
        <v>58</v>
      </c>
      <c r="E302" s="58">
        <v>1050123810</v>
      </c>
      <c r="F302" s="65" t="s">
        <v>119</v>
      </c>
      <c r="G302" s="75" t="s">
        <v>120</v>
      </c>
      <c r="H302" s="113">
        <f>1147.9+200</f>
        <v>1347.9</v>
      </c>
      <c r="I302" s="113">
        <v>1147.9000000000001</v>
      </c>
      <c r="J302" s="113">
        <v>1147.9000000000001</v>
      </c>
    </row>
    <row r="303" spans="1:10" ht="69.599999999999994" customHeight="1" x14ac:dyDescent="0.2">
      <c r="A303" s="1"/>
      <c r="B303" s="23"/>
      <c r="C303" s="16" t="s">
        <v>60</v>
      </c>
      <c r="D303" s="65" t="s">
        <v>58</v>
      </c>
      <c r="E303" s="58">
        <v>1050121100</v>
      </c>
      <c r="F303" s="19"/>
      <c r="G303" s="75" t="s">
        <v>438</v>
      </c>
      <c r="H303" s="82">
        <f>H304</f>
        <v>41180.800000000003</v>
      </c>
      <c r="I303" s="82">
        <f t="shared" ref="I303:J303" si="99">I304</f>
        <v>44115.9</v>
      </c>
      <c r="J303" s="82">
        <f t="shared" si="99"/>
        <v>44115.9</v>
      </c>
    </row>
    <row r="304" spans="1:10" ht="38.25" x14ac:dyDescent="0.2">
      <c r="A304" s="1"/>
      <c r="B304" s="23"/>
      <c r="C304" s="65" t="s">
        <v>60</v>
      </c>
      <c r="D304" s="65" t="s">
        <v>58</v>
      </c>
      <c r="E304" s="58">
        <v>1050121100</v>
      </c>
      <c r="F304" s="65" t="s">
        <v>119</v>
      </c>
      <c r="G304" s="75" t="s">
        <v>120</v>
      </c>
      <c r="H304" s="82">
        <v>41180.800000000003</v>
      </c>
      <c r="I304" s="82">
        <v>44115.9</v>
      </c>
      <c r="J304" s="82">
        <v>44115.9</v>
      </c>
    </row>
    <row r="305" spans="1:10" ht="40.5" customHeight="1" x14ac:dyDescent="0.2">
      <c r="A305" s="1"/>
      <c r="B305" s="23"/>
      <c r="C305" s="16" t="s">
        <v>60</v>
      </c>
      <c r="D305" s="65" t="s">
        <v>58</v>
      </c>
      <c r="E305" s="58">
        <v>1050121800</v>
      </c>
      <c r="F305" s="16"/>
      <c r="G305" s="75" t="s">
        <v>194</v>
      </c>
      <c r="H305" s="82">
        <f>H306</f>
        <v>1920</v>
      </c>
      <c r="I305" s="82">
        <f t="shared" ref="I305:J305" si="100">I306</f>
        <v>120</v>
      </c>
      <c r="J305" s="82">
        <f t="shared" si="100"/>
        <v>120</v>
      </c>
    </row>
    <row r="306" spans="1:10" ht="38.25" x14ac:dyDescent="0.2">
      <c r="A306" s="1"/>
      <c r="B306" s="23"/>
      <c r="C306" s="65" t="s">
        <v>60</v>
      </c>
      <c r="D306" s="65" t="s">
        <v>58</v>
      </c>
      <c r="E306" s="58">
        <v>1050121800</v>
      </c>
      <c r="F306" s="65" t="s">
        <v>119</v>
      </c>
      <c r="G306" s="75" t="s">
        <v>120</v>
      </c>
      <c r="H306" s="82">
        <v>1920</v>
      </c>
      <c r="I306" s="82">
        <v>120</v>
      </c>
      <c r="J306" s="82">
        <v>120</v>
      </c>
    </row>
    <row r="307" spans="1:10" ht="39.75" customHeight="1" x14ac:dyDescent="0.2">
      <c r="A307" s="1"/>
      <c r="B307" s="23"/>
      <c r="C307" s="65" t="s">
        <v>60</v>
      </c>
      <c r="D307" s="65" t="s">
        <v>58</v>
      </c>
      <c r="E307" s="58">
        <v>1050123600</v>
      </c>
      <c r="F307" s="16"/>
      <c r="G307" s="75" t="s">
        <v>335</v>
      </c>
      <c r="H307" s="82">
        <f>H308</f>
        <v>2460.9</v>
      </c>
      <c r="I307" s="82">
        <f>I308</f>
        <v>2050</v>
      </c>
      <c r="J307" s="82">
        <f>J308</f>
        <v>2050</v>
      </c>
    </row>
    <row r="308" spans="1:10" ht="38.25" x14ac:dyDescent="0.2">
      <c r="A308" s="1"/>
      <c r="B308" s="23"/>
      <c r="C308" s="16" t="s">
        <v>60</v>
      </c>
      <c r="D308" s="65" t="s">
        <v>58</v>
      </c>
      <c r="E308" s="58">
        <v>1050123600</v>
      </c>
      <c r="F308" s="65" t="s">
        <v>119</v>
      </c>
      <c r="G308" s="75" t="s">
        <v>120</v>
      </c>
      <c r="H308" s="113">
        <f>2050+560.9-150</f>
        <v>2460.9</v>
      </c>
      <c r="I308" s="113">
        <v>2050</v>
      </c>
      <c r="J308" s="113">
        <v>2050</v>
      </c>
    </row>
    <row r="309" spans="1:10" ht="26.25" customHeight="1" x14ac:dyDescent="0.2">
      <c r="A309" s="1"/>
      <c r="B309" s="23"/>
      <c r="C309" s="16" t="s">
        <v>60</v>
      </c>
      <c r="D309" s="65" t="s">
        <v>58</v>
      </c>
      <c r="E309" s="58">
        <v>1050123820</v>
      </c>
      <c r="F309" s="19"/>
      <c r="G309" s="75" t="s">
        <v>336</v>
      </c>
      <c r="H309" s="82">
        <f>SUM(H310:H310)</f>
        <v>680.69999999999993</v>
      </c>
      <c r="I309" s="82">
        <f>SUM(I310:I310)</f>
        <v>577.9</v>
      </c>
      <c r="J309" s="82">
        <f>SUM(J310:J310)</f>
        <v>577.9</v>
      </c>
    </row>
    <row r="310" spans="1:10" x14ac:dyDescent="0.2">
      <c r="A310" s="1"/>
      <c r="B310" s="23"/>
      <c r="C310" s="65" t="s">
        <v>60</v>
      </c>
      <c r="D310" s="65" t="s">
        <v>58</v>
      </c>
      <c r="E310" s="58">
        <v>1050123820</v>
      </c>
      <c r="F310" s="19" t="s">
        <v>122</v>
      </c>
      <c r="G310" s="75" t="s">
        <v>121</v>
      </c>
      <c r="H310" s="82">
        <f>577.9+102.8</f>
        <v>680.69999999999993</v>
      </c>
      <c r="I310" s="82">
        <v>577.9</v>
      </c>
      <c r="J310" s="82">
        <v>577.9</v>
      </c>
    </row>
    <row r="311" spans="1:10" ht="29.25" customHeight="1" x14ac:dyDescent="0.2">
      <c r="A311" s="1"/>
      <c r="B311" s="23"/>
      <c r="C311" s="16" t="s">
        <v>60</v>
      </c>
      <c r="D311" s="65" t="s">
        <v>58</v>
      </c>
      <c r="E311" s="58">
        <v>1050123830</v>
      </c>
      <c r="F311" s="16"/>
      <c r="G311" s="75" t="s">
        <v>337</v>
      </c>
      <c r="H311" s="82">
        <f>H312</f>
        <v>300</v>
      </c>
      <c r="I311" s="82">
        <f t="shared" ref="I311:J311" si="101">I312</f>
        <v>300</v>
      </c>
      <c r="J311" s="82">
        <f t="shared" si="101"/>
        <v>300</v>
      </c>
    </row>
    <row r="312" spans="1:10" x14ac:dyDescent="0.2">
      <c r="A312" s="1"/>
      <c r="B312" s="23"/>
      <c r="C312" s="16" t="s">
        <v>60</v>
      </c>
      <c r="D312" s="65" t="s">
        <v>58</v>
      </c>
      <c r="E312" s="58">
        <v>1050123830</v>
      </c>
      <c r="F312" s="19" t="s">
        <v>122</v>
      </c>
      <c r="G312" s="75" t="s">
        <v>121</v>
      </c>
      <c r="H312" s="82">
        <v>300</v>
      </c>
      <c r="I312" s="82">
        <v>300</v>
      </c>
      <c r="J312" s="82">
        <v>300</v>
      </c>
    </row>
    <row r="313" spans="1:10" ht="25.5" customHeight="1" x14ac:dyDescent="0.2">
      <c r="A313" s="1"/>
      <c r="B313" s="23"/>
      <c r="C313" s="65" t="s">
        <v>60</v>
      </c>
      <c r="D313" s="65" t="s">
        <v>58</v>
      </c>
      <c r="E313" s="58">
        <v>1050123840</v>
      </c>
      <c r="F313" s="19"/>
      <c r="G313" s="75" t="s">
        <v>338</v>
      </c>
      <c r="H313" s="82">
        <f>H314</f>
        <v>935.19999999999993</v>
      </c>
      <c r="I313" s="82">
        <f t="shared" ref="I313:J313" si="102">I314</f>
        <v>944.3</v>
      </c>
      <c r="J313" s="82">
        <f t="shared" si="102"/>
        <v>944.3</v>
      </c>
    </row>
    <row r="314" spans="1:10" ht="38.25" x14ac:dyDescent="0.2">
      <c r="A314" s="1"/>
      <c r="B314" s="23"/>
      <c r="C314" s="16" t="s">
        <v>60</v>
      </c>
      <c r="D314" s="65" t="s">
        <v>58</v>
      </c>
      <c r="E314" s="58">
        <v>1050123840</v>
      </c>
      <c r="F314" s="65" t="s">
        <v>119</v>
      </c>
      <c r="G314" s="75" t="s">
        <v>120</v>
      </c>
      <c r="H314" s="82">
        <f>944.3-9.1</f>
        <v>935.19999999999993</v>
      </c>
      <c r="I314" s="82">
        <v>944.3</v>
      </c>
      <c r="J314" s="82">
        <v>944.3</v>
      </c>
    </row>
    <row r="315" spans="1:10" x14ac:dyDescent="0.2">
      <c r="A315" s="1"/>
      <c r="B315" s="23"/>
      <c r="C315" s="65" t="s">
        <v>60</v>
      </c>
      <c r="D315" s="65" t="s">
        <v>58</v>
      </c>
      <c r="E315" s="58">
        <v>1050123850</v>
      </c>
      <c r="F315" s="16"/>
      <c r="G315" s="75" t="s">
        <v>339</v>
      </c>
      <c r="H315" s="82">
        <f>H316</f>
        <v>2721.5</v>
      </c>
      <c r="I315" s="82">
        <f>I316</f>
        <v>3289.9</v>
      </c>
      <c r="J315" s="82">
        <f>J316</f>
        <v>3289.9</v>
      </c>
    </row>
    <row r="316" spans="1:10" ht="38.25" x14ac:dyDescent="0.2">
      <c r="A316" s="1"/>
      <c r="B316" s="23"/>
      <c r="C316" s="16" t="s">
        <v>60</v>
      </c>
      <c r="D316" s="65" t="s">
        <v>58</v>
      </c>
      <c r="E316" s="58">
        <v>1050123850</v>
      </c>
      <c r="F316" s="65" t="s">
        <v>119</v>
      </c>
      <c r="G316" s="75" t="s">
        <v>120</v>
      </c>
      <c r="H316" s="113">
        <f>3290.8-560.9-8.4</f>
        <v>2721.5</v>
      </c>
      <c r="I316" s="113">
        <v>3289.9</v>
      </c>
      <c r="J316" s="113">
        <v>3289.9</v>
      </c>
    </row>
    <row r="317" spans="1:10" ht="26.25" customHeight="1" x14ac:dyDescent="0.2">
      <c r="A317" s="1"/>
      <c r="B317" s="23"/>
      <c r="C317" s="65" t="s">
        <v>60</v>
      </c>
      <c r="D317" s="65" t="s">
        <v>58</v>
      </c>
      <c r="E317" s="62">
        <v>1050123860</v>
      </c>
      <c r="F317" s="16"/>
      <c r="G317" s="75" t="s">
        <v>21</v>
      </c>
      <c r="H317" s="82">
        <f t="shared" ref="H317:J317" si="103">H318</f>
        <v>3044.8</v>
      </c>
      <c r="I317" s="82">
        <f t="shared" si="103"/>
        <v>2844.8</v>
      </c>
      <c r="J317" s="82">
        <f t="shared" si="103"/>
        <v>2844.8</v>
      </c>
    </row>
    <row r="318" spans="1:10" ht="38.25" x14ac:dyDescent="0.2">
      <c r="A318" s="1"/>
      <c r="B318" s="23"/>
      <c r="C318" s="65" t="s">
        <v>60</v>
      </c>
      <c r="D318" s="65" t="s">
        <v>58</v>
      </c>
      <c r="E318" s="62">
        <v>1050123860</v>
      </c>
      <c r="F318" s="65" t="s">
        <v>119</v>
      </c>
      <c r="G318" s="75" t="s">
        <v>120</v>
      </c>
      <c r="H318" s="82">
        <f>2844.8+200</f>
        <v>3044.8</v>
      </c>
      <c r="I318" s="82">
        <v>2844.8</v>
      </c>
      <c r="J318" s="82">
        <v>2844.8</v>
      </c>
    </row>
    <row r="319" spans="1:10" ht="36.75" customHeight="1" x14ac:dyDescent="0.2">
      <c r="A319" s="1"/>
      <c r="B319" s="23"/>
      <c r="C319" s="65" t="s">
        <v>60</v>
      </c>
      <c r="D319" s="65" t="s">
        <v>58</v>
      </c>
      <c r="E319" s="19" t="s">
        <v>440</v>
      </c>
      <c r="F319" s="16"/>
      <c r="G319" s="75" t="s">
        <v>340</v>
      </c>
      <c r="H319" s="82">
        <f>H320</f>
        <v>3347.5</v>
      </c>
      <c r="I319" s="82">
        <f>I320</f>
        <v>3100</v>
      </c>
      <c r="J319" s="82">
        <f>J320</f>
        <v>3100</v>
      </c>
    </row>
    <row r="320" spans="1:10" ht="38.25" x14ac:dyDescent="0.2">
      <c r="A320" s="1"/>
      <c r="B320" s="23"/>
      <c r="C320" s="65" t="s">
        <v>60</v>
      </c>
      <c r="D320" s="65" t="s">
        <v>58</v>
      </c>
      <c r="E320" s="19" t="s">
        <v>440</v>
      </c>
      <c r="F320" s="65" t="s">
        <v>119</v>
      </c>
      <c r="G320" s="75" t="s">
        <v>120</v>
      </c>
      <c r="H320" s="82">
        <f>3100+247.5</f>
        <v>3347.5</v>
      </c>
      <c r="I320" s="82">
        <v>3100</v>
      </c>
      <c r="J320" s="82">
        <v>3100</v>
      </c>
    </row>
    <row r="321" spans="1:10" ht="19.149999999999999" customHeight="1" x14ac:dyDescent="0.2">
      <c r="A321" s="1"/>
      <c r="B321" s="23"/>
      <c r="C321" s="65" t="s">
        <v>60</v>
      </c>
      <c r="D321" s="65" t="s">
        <v>58</v>
      </c>
      <c r="E321" s="19" t="s">
        <v>441</v>
      </c>
      <c r="F321" s="16"/>
      <c r="G321" s="75" t="s">
        <v>342</v>
      </c>
      <c r="H321" s="82">
        <f>H322</f>
        <v>236</v>
      </c>
      <c r="I321" s="82">
        <f>I322</f>
        <v>236</v>
      </c>
      <c r="J321" s="82">
        <f>J322</f>
        <v>236</v>
      </c>
    </row>
    <row r="322" spans="1:10" ht="38.25" x14ac:dyDescent="0.2">
      <c r="A322" s="1"/>
      <c r="B322" s="23"/>
      <c r="C322" s="65" t="s">
        <v>60</v>
      </c>
      <c r="D322" s="65" t="s">
        <v>58</v>
      </c>
      <c r="E322" s="19" t="s">
        <v>441</v>
      </c>
      <c r="F322" s="65" t="s">
        <v>119</v>
      </c>
      <c r="G322" s="75" t="s">
        <v>120</v>
      </c>
      <c r="H322" s="82">
        <v>236</v>
      </c>
      <c r="I322" s="82">
        <v>236</v>
      </c>
      <c r="J322" s="82">
        <v>236</v>
      </c>
    </row>
    <row r="323" spans="1:10" ht="15" x14ac:dyDescent="0.2">
      <c r="A323" s="1"/>
      <c r="B323" s="23"/>
      <c r="C323" s="65" t="s">
        <v>60</v>
      </c>
      <c r="D323" s="65" t="s">
        <v>58</v>
      </c>
      <c r="E323" s="19" t="s">
        <v>442</v>
      </c>
      <c r="F323" s="65"/>
      <c r="G323" s="139" t="s">
        <v>343</v>
      </c>
      <c r="H323" s="82">
        <f t="shared" ref="H323:J323" si="104">H324</f>
        <v>13301</v>
      </c>
      <c r="I323" s="82">
        <f t="shared" si="104"/>
        <v>14512.3</v>
      </c>
      <c r="J323" s="82">
        <f t="shared" si="104"/>
        <v>15223.4</v>
      </c>
    </row>
    <row r="324" spans="1:10" ht="38.25" x14ac:dyDescent="0.2">
      <c r="A324" s="1"/>
      <c r="B324" s="23"/>
      <c r="C324" s="65" t="s">
        <v>60</v>
      </c>
      <c r="D324" s="65" t="s">
        <v>58</v>
      </c>
      <c r="E324" s="19" t="s">
        <v>442</v>
      </c>
      <c r="F324" s="65" t="s">
        <v>119</v>
      </c>
      <c r="G324" s="75" t="s">
        <v>120</v>
      </c>
      <c r="H324" s="82">
        <v>13301</v>
      </c>
      <c r="I324" s="82">
        <v>14512.3</v>
      </c>
      <c r="J324" s="82">
        <v>15223.4</v>
      </c>
    </row>
    <row r="325" spans="1:10" ht="39" customHeight="1" x14ac:dyDescent="0.2">
      <c r="A325" s="1"/>
      <c r="B325" s="23"/>
      <c r="C325" s="65" t="s">
        <v>60</v>
      </c>
      <c r="D325" s="65" t="s">
        <v>58</v>
      </c>
      <c r="E325" s="19" t="s">
        <v>341</v>
      </c>
      <c r="F325" s="65"/>
      <c r="G325" s="75" t="s">
        <v>443</v>
      </c>
      <c r="H325" s="82">
        <f>H326</f>
        <v>550</v>
      </c>
      <c r="I325" s="82">
        <f t="shared" ref="I325:J325" si="105">I326</f>
        <v>780</v>
      </c>
      <c r="J325" s="82">
        <f t="shared" si="105"/>
        <v>780</v>
      </c>
    </row>
    <row r="326" spans="1:10" ht="38.25" x14ac:dyDescent="0.2">
      <c r="A326" s="1"/>
      <c r="B326" s="23"/>
      <c r="C326" s="65" t="s">
        <v>60</v>
      </c>
      <c r="D326" s="65" t="s">
        <v>58</v>
      </c>
      <c r="E326" s="19" t="s">
        <v>341</v>
      </c>
      <c r="F326" s="65" t="s">
        <v>119</v>
      </c>
      <c r="G326" s="75" t="s">
        <v>120</v>
      </c>
      <c r="H326" s="82">
        <f>780-230</f>
        <v>550</v>
      </c>
      <c r="I326" s="82">
        <v>780</v>
      </c>
      <c r="J326" s="82">
        <v>780</v>
      </c>
    </row>
    <row r="327" spans="1:10" ht="105.75" customHeight="1" x14ac:dyDescent="0.2">
      <c r="A327" s="1"/>
      <c r="B327" s="23"/>
      <c r="C327" s="5" t="s">
        <v>60</v>
      </c>
      <c r="D327" s="5" t="s">
        <v>58</v>
      </c>
      <c r="E327" s="60">
        <v>1200000000</v>
      </c>
      <c r="F327" s="16"/>
      <c r="G327" s="126" t="s">
        <v>215</v>
      </c>
      <c r="H327" s="86">
        <f>H328+H331+H336</f>
        <v>20094.700000000004</v>
      </c>
      <c r="I327" s="86">
        <f t="shared" ref="I327:J327" si="106">I328+I331+I336</f>
        <v>0</v>
      </c>
      <c r="J327" s="86">
        <f t="shared" si="106"/>
        <v>0</v>
      </c>
    </row>
    <row r="328" spans="1:10" ht="51" customHeight="1" x14ac:dyDescent="0.2">
      <c r="A328" s="1"/>
      <c r="B328" s="23"/>
      <c r="C328" s="41" t="s">
        <v>60</v>
      </c>
      <c r="D328" s="41" t="s">
        <v>58</v>
      </c>
      <c r="E328" s="59" t="s">
        <v>326</v>
      </c>
      <c r="F328" s="16"/>
      <c r="G328" s="42" t="s">
        <v>325</v>
      </c>
      <c r="H328" s="88">
        <f>H329</f>
        <v>9962.2000000000007</v>
      </c>
      <c r="I328" s="88">
        <f t="shared" ref="I328:J328" si="107">I329</f>
        <v>0</v>
      </c>
      <c r="J328" s="88">
        <f t="shared" si="107"/>
        <v>0</v>
      </c>
    </row>
    <row r="329" spans="1:10" ht="40.5" customHeight="1" x14ac:dyDescent="0.2">
      <c r="A329" s="1"/>
      <c r="B329" s="23"/>
      <c r="C329" s="65" t="s">
        <v>60</v>
      </c>
      <c r="D329" s="65" t="s">
        <v>58</v>
      </c>
      <c r="E329" s="58" t="s">
        <v>328</v>
      </c>
      <c r="F329" s="16"/>
      <c r="G329" s="76" t="s">
        <v>327</v>
      </c>
      <c r="H329" s="113">
        <f>H330</f>
        <v>9962.2000000000007</v>
      </c>
      <c r="I329" s="88">
        <f t="shared" ref="I329:J329" si="108">I330</f>
        <v>0</v>
      </c>
      <c r="J329" s="88">
        <f t="shared" si="108"/>
        <v>0</v>
      </c>
    </row>
    <row r="330" spans="1:10" ht="45" customHeight="1" x14ac:dyDescent="0.2">
      <c r="A330" s="1"/>
      <c r="B330" s="23"/>
      <c r="C330" s="65" t="s">
        <v>60</v>
      </c>
      <c r="D330" s="65" t="s">
        <v>58</v>
      </c>
      <c r="E330" s="58" t="s">
        <v>328</v>
      </c>
      <c r="F330" s="65" t="s">
        <v>119</v>
      </c>
      <c r="G330" s="75" t="s">
        <v>120</v>
      </c>
      <c r="H330" s="113">
        <v>9962.2000000000007</v>
      </c>
      <c r="I330" s="113">
        <v>0</v>
      </c>
      <c r="J330" s="113">
        <v>0</v>
      </c>
    </row>
    <row r="331" spans="1:10" ht="91.5" customHeight="1" x14ac:dyDescent="0.2">
      <c r="A331" s="1"/>
      <c r="B331" s="23"/>
      <c r="C331" s="41" t="s">
        <v>60</v>
      </c>
      <c r="D331" s="41" t="s">
        <v>58</v>
      </c>
      <c r="E331" s="59">
        <v>1220100000</v>
      </c>
      <c r="F331" s="16"/>
      <c r="G331" s="42" t="s">
        <v>331</v>
      </c>
      <c r="H331" s="88">
        <f>H332+H334</f>
        <v>8589.1</v>
      </c>
      <c r="I331" s="88">
        <f t="shared" ref="I331:J331" si="109">I332+I334</f>
        <v>0</v>
      </c>
      <c r="J331" s="88">
        <f t="shared" si="109"/>
        <v>0</v>
      </c>
    </row>
    <row r="332" spans="1:10" ht="39" customHeight="1" x14ac:dyDescent="0.2">
      <c r="A332" s="1"/>
      <c r="B332" s="23"/>
      <c r="C332" s="65" t="s">
        <v>60</v>
      </c>
      <c r="D332" s="65" t="s">
        <v>58</v>
      </c>
      <c r="E332" s="58" t="s">
        <v>329</v>
      </c>
      <c r="F332" s="16"/>
      <c r="G332" s="76" t="s">
        <v>192</v>
      </c>
      <c r="H332" s="113">
        <f>H333</f>
        <v>5400.6</v>
      </c>
      <c r="I332" s="113">
        <f t="shared" ref="I332:J332" si="110">I333</f>
        <v>0</v>
      </c>
      <c r="J332" s="113">
        <f t="shared" si="110"/>
        <v>0</v>
      </c>
    </row>
    <row r="333" spans="1:10" ht="42.75" customHeight="1" x14ac:dyDescent="0.2">
      <c r="A333" s="1"/>
      <c r="B333" s="23"/>
      <c r="C333" s="65" t="s">
        <v>60</v>
      </c>
      <c r="D333" s="65" t="s">
        <v>58</v>
      </c>
      <c r="E333" s="58" t="s">
        <v>329</v>
      </c>
      <c r="F333" s="65" t="s">
        <v>119</v>
      </c>
      <c r="G333" s="75" t="s">
        <v>120</v>
      </c>
      <c r="H333" s="113">
        <v>5400.6</v>
      </c>
      <c r="I333" s="113">
        <v>0</v>
      </c>
      <c r="J333" s="113">
        <v>0</v>
      </c>
    </row>
    <row r="334" spans="1:10" ht="42.75" customHeight="1" x14ac:dyDescent="0.2">
      <c r="A334" s="1"/>
      <c r="B334" s="23"/>
      <c r="C334" s="65" t="s">
        <v>60</v>
      </c>
      <c r="D334" s="65" t="s">
        <v>58</v>
      </c>
      <c r="E334" s="58" t="s">
        <v>602</v>
      </c>
      <c r="F334" s="16"/>
      <c r="G334" s="76" t="s">
        <v>603</v>
      </c>
      <c r="H334" s="113">
        <f>H335</f>
        <v>3188.5</v>
      </c>
      <c r="I334" s="113">
        <f t="shared" ref="I334:J334" si="111">I335</f>
        <v>0</v>
      </c>
      <c r="J334" s="113">
        <f t="shared" si="111"/>
        <v>0</v>
      </c>
    </row>
    <row r="335" spans="1:10" ht="42.75" customHeight="1" x14ac:dyDescent="0.2">
      <c r="A335" s="1"/>
      <c r="B335" s="23"/>
      <c r="C335" s="65" t="s">
        <v>60</v>
      </c>
      <c r="D335" s="65" t="s">
        <v>58</v>
      </c>
      <c r="E335" s="58" t="s">
        <v>602</v>
      </c>
      <c r="F335" s="65" t="s">
        <v>119</v>
      </c>
      <c r="G335" s="75" t="s">
        <v>120</v>
      </c>
      <c r="H335" s="113">
        <v>3188.5</v>
      </c>
      <c r="I335" s="113">
        <v>0</v>
      </c>
      <c r="J335" s="113">
        <v>0</v>
      </c>
    </row>
    <row r="336" spans="1:10" ht="51.75" customHeight="1" x14ac:dyDescent="0.2">
      <c r="A336" s="1"/>
      <c r="B336" s="23"/>
      <c r="C336" s="41" t="s">
        <v>60</v>
      </c>
      <c r="D336" s="41" t="s">
        <v>58</v>
      </c>
      <c r="E336" s="59">
        <v>1250100000</v>
      </c>
      <c r="F336" s="16"/>
      <c r="G336" s="42" t="s">
        <v>332</v>
      </c>
      <c r="H336" s="88">
        <f>H337+H339</f>
        <v>1543.4000000000003</v>
      </c>
      <c r="I336" s="88">
        <f t="shared" ref="I336:J336" si="112">I337+I339</f>
        <v>0</v>
      </c>
      <c r="J336" s="88">
        <f t="shared" si="112"/>
        <v>0</v>
      </c>
    </row>
    <row r="337" spans="1:10" ht="36.75" customHeight="1" x14ac:dyDescent="0.2">
      <c r="A337" s="1"/>
      <c r="B337" s="23"/>
      <c r="C337" s="65" t="s">
        <v>60</v>
      </c>
      <c r="D337" s="65" t="s">
        <v>58</v>
      </c>
      <c r="E337" s="58">
        <v>1250123120</v>
      </c>
      <c r="F337" s="16"/>
      <c r="G337" s="106" t="s">
        <v>330</v>
      </c>
      <c r="H337" s="113">
        <f>H338</f>
        <v>9</v>
      </c>
      <c r="I337" s="113">
        <f t="shared" ref="I337:J337" si="113">I338</f>
        <v>0</v>
      </c>
      <c r="J337" s="113">
        <f t="shared" si="113"/>
        <v>0</v>
      </c>
    </row>
    <row r="338" spans="1:10" ht="38.25" x14ac:dyDescent="0.2">
      <c r="A338" s="1"/>
      <c r="B338" s="23"/>
      <c r="C338" s="65" t="s">
        <v>60</v>
      </c>
      <c r="D338" s="65" t="s">
        <v>58</v>
      </c>
      <c r="E338" s="58">
        <v>1250123120</v>
      </c>
      <c r="F338" s="65" t="s">
        <v>119</v>
      </c>
      <c r="G338" s="75" t="s">
        <v>120</v>
      </c>
      <c r="H338" s="113">
        <v>9</v>
      </c>
      <c r="I338" s="113">
        <v>0</v>
      </c>
      <c r="J338" s="113">
        <v>0</v>
      </c>
    </row>
    <row r="339" spans="1:10" ht="38.25" x14ac:dyDescent="0.2">
      <c r="A339" s="1"/>
      <c r="B339" s="23"/>
      <c r="C339" s="65" t="s">
        <v>60</v>
      </c>
      <c r="D339" s="65" t="s">
        <v>58</v>
      </c>
      <c r="E339" s="58">
        <v>1250123600</v>
      </c>
      <c r="F339" s="65"/>
      <c r="G339" s="75" t="s">
        <v>186</v>
      </c>
      <c r="H339" s="82">
        <f>H340</f>
        <v>1534.4000000000003</v>
      </c>
      <c r="I339" s="82">
        <f>I340</f>
        <v>0</v>
      </c>
      <c r="J339" s="82">
        <f>J340</f>
        <v>0</v>
      </c>
    </row>
    <row r="340" spans="1:10" ht="38.25" x14ac:dyDescent="0.2">
      <c r="A340" s="1"/>
      <c r="B340" s="23"/>
      <c r="C340" s="65" t="s">
        <v>60</v>
      </c>
      <c r="D340" s="65" t="s">
        <v>58</v>
      </c>
      <c r="E340" s="58">
        <v>1250123600</v>
      </c>
      <c r="F340" s="65" t="s">
        <v>119</v>
      </c>
      <c r="G340" s="75" t="s">
        <v>120</v>
      </c>
      <c r="H340" s="82">
        <f>2703.8-250.6-918.8</f>
        <v>1534.4000000000003</v>
      </c>
      <c r="I340" s="82">
        <v>0</v>
      </c>
      <c r="J340" s="82">
        <v>0</v>
      </c>
    </row>
    <row r="341" spans="1:10" ht="130.5" customHeight="1" x14ac:dyDescent="0.2">
      <c r="A341" s="1"/>
      <c r="B341" s="23"/>
      <c r="C341" s="5" t="s">
        <v>60</v>
      </c>
      <c r="D341" s="5" t="s">
        <v>58</v>
      </c>
      <c r="E341" s="57" t="s">
        <v>27</v>
      </c>
      <c r="F341" s="65"/>
      <c r="G341" s="102" t="s">
        <v>216</v>
      </c>
      <c r="H341" s="86">
        <f>H342+H347</f>
        <v>19490.2</v>
      </c>
      <c r="I341" s="86">
        <f t="shared" ref="I341:J342" si="114">I342</f>
        <v>0</v>
      </c>
      <c r="J341" s="86">
        <f t="shared" si="114"/>
        <v>0</v>
      </c>
    </row>
    <row r="342" spans="1:10" ht="119.45" customHeight="1" x14ac:dyDescent="0.2">
      <c r="A342" s="1"/>
      <c r="B342" s="23"/>
      <c r="C342" s="41" t="s">
        <v>60</v>
      </c>
      <c r="D342" s="41" t="s">
        <v>58</v>
      </c>
      <c r="E342" s="101">
        <v>1320100000</v>
      </c>
      <c r="F342" s="65"/>
      <c r="G342" s="42" t="s">
        <v>405</v>
      </c>
      <c r="H342" s="82">
        <f>H343+H345</f>
        <v>3688.4</v>
      </c>
      <c r="I342" s="82">
        <f t="shared" si="114"/>
        <v>0</v>
      </c>
      <c r="J342" s="82">
        <f t="shared" si="114"/>
        <v>0</v>
      </c>
    </row>
    <row r="343" spans="1:10" ht="120" customHeight="1" x14ac:dyDescent="0.25">
      <c r="A343" s="1"/>
      <c r="B343" s="23"/>
      <c r="C343" s="110" t="s">
        <v>60</v>
      </c>
      <c r="D343" s="111" t="s">
        <v>58</v>
      </c>
      <c r="E343" s="112">
        <v>1320129027</v>
      </c>
      <c r="F343" s="65"/>
      <c r="G343" s="124" t="s">
        <v>533</v>
      </c>
      <c r="H343" s="82">
        <f>H344</f>
        <v>1153.4000000000001</v>
      </c>
      <c r="I343" s="82">
        <f t="shared" ref="I343:J343" si="115">I344</f>
        <v>0</v>
      </c>
      <c r="J343" s="82">
        <f t="shared" si="115"/>
        <v>0</v>
      </c>
    </row>
    <row r="344" spans="1:10" ht="40.9" customHeight="1" x14ac:dyDescent="0.2">
      <c r="A344" s="1"/>
      <c r="B344" s="23"/>
      <c r="C344" s="110" t="s">
        <v>60</v>
      </c>
      <c r="D344" s="111" t="s">
        <v>58</v>
      </c>
      <c r="E344" s="112">
        <v>1320129027</v>
      </c>
      <c r="F344" s="65" t="s">
        <v>119</v>
      </c>
      <c r="G344" s="76" t="s">
        <v>120</v>
      </c>
      <c r="H344" s="82">
        <f>1365-211.6</f>
        <v>1153.4000000000001</v>
      </c>
      <c r="I344" s="82">
        <v>0</v>
      </c>
      <c r="J344" s="82">
        <v>0</v>
      </c>
    </row>
    <row r="345" spans="1:10" ht="122.25" customHeight="1" x14ac:dyDescent="0.25">
      <c r="A345" s="1"/>
      <c r="B345" s="23"/>
      <c r="C345" s="110" t="s">
        <v>60</v>
      </c>
      <c r="D345" s="111" t="s">
        <v>58</v>
      </c>
      <c r="E345" s="112">
        <v>1320119027</v>
      </c>
      <c r="F345" s="65"/>
      <c r="G345" s="124" t="s">
        <v>533</v>
      </c>
      <c r="H345" s="82">
        <f>H346</f>
        <v>2535</v>
      </c>
      <c r="I345" s="82">
        <f t="shared" ref="I345:J345" si="116">I346</f>
        <v>0</v>
      </c>
      <c r="J345" s="82">
        <f t="shared" si="116"/>
        <v>0</v>
      </c>
    </row>
    <row r="346" spans="1:10" ht="40.9" customHeight="1" x14ac:dyDescent="0.2">
      <c r="A346" s="1"/>
      <c r="B346" s="23"/>
      <c r="C346" s="110" t="s">
        <v>60</v>
      </c>
      <c r="D346" s="111" t="s">
        <v>58</v>
      </c>
      <c r="E346" s="112">
        <v>1320119027</v>
      </c>
      <c r="F346" s="65" t="s">
        <v>119</v>
      </c>
      <c r="G346" s="76" t="s">
        <v>120</v>
      </c>
      <c r="H346" s="82">
        <f>3000-465</f>
        <v>2535</v>
      </c>
      <c r="I346" s="82">
        <v>0</v>
      </c>
      <c r="J346" s="82">
        <v>0</v>
      </c>
    </row>
    <row r="347" spans="1:10" ht="53.45" customHeight="1" x14ac:dyDescent="0.2">
      <c r="A347" s="1"/>
      <c r="B347" s="23"/>
      <c r="C347" s="110" t="s">
        <v>60</v>
      </c>
      <c r="D347" s="146" t="s">
        <v>58</v>
      </c>
      <c r="E347" s="147">
        <v>1350100000</v>
      </c>
      <c r="F347" s="41"/>
      <c r="G347" s="42" t="s">
        <v>406</v>
      </c>
      <c r="H347" s="88">
        <f>H348+H350+H352</f>
        <v>15801.8</v>
      </c>
      <c r="I347" s="88">
        <f t="shared" ref="I347:J347" si="117">I348+I350+I352</f>
        <v>0</v>
      </c>
      <c r="J347" s="88">
        <f t="shared" si="117"/>
        <v>0</v>
      </c>
    </row>
    <row r="348" spans="1:10" ht="51" customHeight="1" x14ac:dyDescent="0.2">
      <c r="A348" s="1"/>
      <c r="B348" s="23"/>
      <c r="C348" s="110" t="s">
        <v>60</v>
      </c>
      <c r="D348" s="111" t="s">
        <v>58</v>
      </c>
      <c r="E348" s="112">
        <v>1350124017</v>
      </c>
      <c r="F348" s="65"/>
      <c r="G348" s="76" t="s">
        <v>407</v>
      </c>
      <c r="H348" s="82">
        <f>H349</f>
        <v>5543.5</v>
      </c>
      <c r="I348" s="82">
        <f t="shared" ref="I348:J348" si="118">I349</f>
        <v>0</v>
      </c>
      <c r="J348" s="82">
        <f t="shared" si="118"/>
        <v>0</v>
      </c>
    </row>
    <row r="349" spans="1:10" ht="38.25" x14ac:dyDescent="0.2">
      <c r="A349" s="1"/>
      <c r="B349" s="23"/>
      <c r="C349" s="110" t="s">
        <v>60</v>
      </c>
      <c r="D349" s="111" t="s">
        <v>58</v>
      </c>
      <c r="E349" s="112">
        <v>1350124017</v>
      </c>
      <c r="F349" s="65" t="s">
        <v>119</v>
      </c>
      <c r="G349" s="76" t="s">
        <v>120</v>
      </c>
      <c r="H349" s="82">
        <f>4275.4-1025+2293.1</f>
        <v>5543.5</v>
      </c>
      <c r="I349" s="82">
        <v>0</v>
      </c>
      <c r="J349" s="82">
        <v>0</v>
      </c>
    </row>
    <row r="350" spans="1:10" ht="50.25" customHeight="1" x14ac:dyDescent="0.2">
      <c r="A350" s="1"/>
      <c r="B350" s="23"/>
      <c r="C350" s="110" t="s">
        <v>60</v>
      </c>
      <c r="D350" s="111" t="s">
        <v>58</v>
      </c>
      <c r="E350" s="112">
        <v>1350124018</v>
      </c>
      <c r="F350" s="65"/>
      <c r="G350" s="76" t="s">
        <v>408</v>
      </c>
      <c r="H350" s="82">
        <f>H351</f>
        <v>7197.4</v>
      </c>
      <c r="I350" s="82">
        <f t="shared" ref="I350:J350" si="119">I351</f>
        <v>0</v>
      </c>
      <c r="J350" s="82">
        <f t="shared" si="119"/>
        <v>0</v>
      </c>
    </row>
    <row r="351" spans="1:10" ht="38.25" x14ac:dyDescent="0.2">
      <c r="A351" s="1"/>
      <c r="B351" s="23"/>
      <c r="C351" s="110" t="s">
        <v>60</v>
      </c>
      <c r="D351" s="111" t="s">
        <v>58</v>
      </c>
      <c r="E351" s="112">
        <v>1350124018</v>
      </c>
      <c r="F351" s="65" t="s">
        <v>119</v>
      </c>
      <c r="G351" s="76" t="s">
        <v>120</v>
      </c>
      <c r="H351" s="82">
        <f>6305.7+891.7</f>
        <v>7197.4</v>
      </c>
      <c r="I351" s="82">
        <v>0</v>
      </c>
      <c r="J351" s="82">
        <v>0</v>
      </c>
    </row>
    <row r="352" spans="1:10" ht="48.75" customHeight="1" x14ac:dyDescent="0.2">
      <c r="A352" s="1"/>
      <c r="B352" s="23"/>
      <c r="C352" s="110" t="s">
        <v>60</v>
      </c>
      <c r="D352" s="111" t="s">
        <v>58</v>
      </c>
      <c r="E352" s="112">
        <v>1350124019</v>
      </c>
      <c r="F352" s="65"/>
      <c r="G352" s="76" t="s">
        <v>409</v>
      </c>
      <c r="H352" s="82">
        <f>H353</f>
        <v>3060.9</v>
      </c>
      <c r="I352" s="82">
        <f t="shared" ref="I352:J352" si="120">I353</f>
        <v>0</v>
      </c>
      <c r="J352" s="82">
        <f t="shared" si="120"/>
        <v>0</v>
      </c>
    </row>
    <row r="353" spans="1:10" ht="38.25" x14ac:dyDescent="0.2">
      <c r="A353" s="1"/>
      <c r="B353" s="23"/>
      <c r="C353" s="110" t="s">
        <v>60</v>
      </c>
      <c r="D353" s="111" t="s">
        <v>58</v>
      </c>
      <c r="E353" s="112">
        <v>1350124019</v>
      </c>
      <c r="F353" s="65" t="s">
        <v>119</v>
      </c>
      <c r="G353" s="76" t="s">
        <v>120</v>
      </c>
      <c r="H353" s="82">
        <f>2927.6+133.3</f>
        <v>3060.9</v>
      </c>
      <c r="I353" s="82">
        <v>0</v>
      </c>
      <c r="J353" s="82">
        <v>0</v>
      </c>
    </row>
    <row r="354" spans="1:10" ht="38.25" x14ac:dyDescent="0.2">
      <c r="A354" s="1"/>
      <c r="B354" s="23"/>
      <c r="C354" s="110" t="s">
        <v>60</v>
      </c>
      <c r="D354" s="111" t="s">
        <v>58</v>
      </c>
      <c r="E354" s="65" t="s">
        <v>22</v>
      </c>
      <c r="F354" s="65"/>
      <c r="G354" s="76" t="s">
        <v>28</v>
      </c>
      <c r="H354" s="182">
        <f>H355</f>
        <v>150</v>
      </c>
      <c r="I354" s="182">
        <f t="shared" ref="I354:J354" si="121">I355</f>
        <v>0</v>
      </c>
      <c r="J354" s="182">
        <f t="shared" si="121"/>
        <v>0</v>
      </c>
    </row>
    <row r="355" spans="1:10" ht="51" x14ac:dyDescent="0.2">
      <c r="A355" s="1"/>
      <c r="B355" s="23"/>
      <c r="C355" s="110" t="s">
        <v>60</v>
      </c>
      <c r="D355" s="111" t="s">
        <v>58</v>
      </c>
      <c r="E355" s="65" t="s">
        <v>598</v>
      </c>
      <c r="F355" s="16"/>
      <c r="G355" s="106" t="s">
        <v>607</v>
      </c>
      <c r="H355" s="182">
        <f>SUM(H356:H356)</f>
        <v>150</v>
      </c>
      <c r="I355" s="182">
        <f>SUM(I356:I356)</f>
        <v>0</v>
      </c>
      <c r="J355" s="182">
        <f>SUM(J356:J356)</f>
        <v>0</v>
      </c>
    </row>
    <row r="356" spans="1:10" ht="38.25" x14ac:dyDescent="0.2">
      <c r="A356" s="1"/>
      <c r="B356" s="23"/>
      <c r="C356" s="110" t="s">
        <v>60</v>
      </c>
      <c r="D356" s="111" t="s">
        <v>58</v>
      </c>
      <c r="E356" s="65" t="s">
        <v>598</v>
      </c>
      <c r="F356" s="65" t="s">
        <v>119</v>
      </c>
      <c r="G356" s="75" t="s">
        <v>120</v>
      </c>
      <c r="H356" s="37">
        <f>200-50</f>
        <v>150</v>
      </c>
      <c r="I356" s="37">
        <v>0</v>
      </c>
      <c r="J356" s="37">
        <v>0</v>
      </c>
    </row>
    <row r="357" spans="1:10" ht="42.75" x14ac:dyDescent="0.2">
      <c r="A357" s="1"/>
      <c r="B357" s="23"/>
      <c r="C357" s="28" t="s">
        <v>60</v>
      </c>
      <c r="D357" s="28" t="s">
        <v>60</v>
      </c>
      <c r="E357" s="28"/>
      <c r="F357" s="28"/>
      <c r="G357" s="44" t="s">
        <v>172</v>
      </c>
      <c r="H357" s="88">
        <f>H358</f>
        <v>2148.1999999999998</v>
      </c>
      <c r="I357" s="88">
        <f t="shared" ref="I357:J358" si="122">I358</f>
        <v>2229.1999999999998</v>
      </c>
      <c r="J357" s="88">
        <f t="shared" si="122"/>
        <v>2318</v>
      </c>
    </row>
    <row r="358" spans="1:10" s="8" customFormat="1" ht="89.25" x14ac:dyDescent="0.2">
      <c r="A358" s="1"/>
      <c r="B358" s="23"/>
      <c r="C358" s="5" t="s">
        <v>60</v>
      </c>
      <c r="D358" s="5" t="s">
        <v>60</v>
      </c>
      <c r="E358" s="60">
        <v>400000000</v>
      </c>
      <c r="F358" s="28"/>
      <c r="G358" s="115" t="s">
        <v>207</v>
      </c>
      <c r="H358" s="86">
        <f>H359</f>
        <v>2148.1999999999998</v>
      </c>
      <c r="I358" s="86">
        <f t="shared" si="122"/>
        <v>2229.1999999999998</v>
      </c>
      <c r="J358" s="86">
        <f t="shared" si="122"/>
        <v>2318</v>
      </c>
    </row>
    <row r="359" spans="1:10" ht="18" customHeight="1" x14ac:dyDescent="0.2">
      <c r="A359" s="1"/>
      <c r="B359" s="23"/>
      <c r="C359" s="65" t="s">
        <v>60</v>
      </c>
      <c r="D359" s="65" t="s">
        <v>60</v>
      </c>
      <c r="E359" s="59">
        <v>450100000</v>
      </c>
      <c r="F359" s="28"/>
      <c r="G359" s="40" t="s">
        <v>307</v>
      </c>
      <c r="H359" s="113">
        <f>H360+H362</f>
        <v>2148.1999999999998</v>
      </c>
      <c r="I359" s="113">
        <f t="shared" ref="I359:J359" si="123">I360+I362</f>
        <v>2229.1999999999998</v>
      </c>
      <c r="J359" s="113">
        <f t="shared" si="123"/>
        <v>2318</v>
      </c>
    </row>
    <row r="360" spans="1:10" s="35" customFormat="1" ht="91.15" customHeight="1" x14ac:dyDescent="0.2">
      <c r="A360" s="1"/>
      <c r="B360" s="23"/>
      <c r="C360" s="65" t="s">
        <v>60</v>
      </c>
      <c r="D360" s="65" t="s">
        <v>60</v>
      </c>
      <c r="E360" s="62">
        <v>450127310</v>
      </c>
      <c r="F360" s="16"/>
      <c r="G360" s="75" t="s">
        <v>392</v>
      </c>
      <c r="H360" s="82">
        <f>H361</f>
        <v>1958</v>
      </c>
      <c r="I360" s="82">
        <f>I361</f>
        <v>2036</v>
      </c>
      <c r="J360" s="82">
        <f>J361</f>
        <v>2117</v>
      </c>
    </row>
    <row r="361" spans="1:10" s="35" customFormat="1" ht="63.75" x14ac:dyDescent="0.2">
      <c r="A361" s="1"/>
      <c r="B361" s="23"/>
      <c r="C361" s="65" t="s">
        <v>60</v>
      </c>
      <c r="D361" s="65" t="s">
        <v>60</v>
      </c>
      <c r="E361" s="62">
        <v>450127310</v>
      </c>
      <c r="F361" s="16" t="s">
        <v>10</v>
      </c>
      <c r="G361" s="75" t="s">
        <v>137</v>
      </c>
      <c r="H361" s="82">
        <v>1958</v>
      </c>
      <c r="I361" s="82">
        <v>2036</v>
      </c>
      <c r="J361" s="82">
        <v>2117</v>
      </c>
    </row>
    <row r="362" spans="1:10" s="35" customFormat="1" ht="95.45" customHeight="1" x14ac:dyDescent="0.2">
      <c r="A362" s="1"/>
      <c r="B362" s="23"/>
      <c r="C362" s="65" t="s">
        <v>60</v>
      </c>
      <c r="D362" s="65" t="s">
        <v>60</v>
      </c>
      <c r="E362" s="62">
        <v>450127320</v>
      </c>
      <c r="F362" s="16"/>
      <c r="G362" s="75" t="s">
        <v>393</v>
      </c>
      <c r="H362" s="82">
        <f>H363</f>
        <v>190.20000000000002</v>
      </c>
      <c r="I362" s="82">
        <f t="shared" ref="I362:J362" si="124">I363</f>
        <v>193.2</v>
      </c>
      <c r="J362" s="82">
        <f t="shared" si="124"/>
        <v>201</v>
      </c>
    </row>
    <row r="363" spans="1:10" s="35" customFormat="1" ht="63.75" x14ac:dyDescent="0.2">
      <c r="A363" s="1"/>
      <c r="B363" s="23"/>
      <c r="C363" s="65" t="s">
        <v>60</v>
      </c>
      <c r="D363" s="65" t="s">
        <v>60</v>
      </c>
      <c r="E363" s="62">
        <v>450127320</v>
      </c>
      <c r="F363" s="16" t="s">
        <v>10</v>
      </c>
      <c r="G363" s="75" t="s">
        <v>137</v>
      </c>
      <c r="H363" s="82">
        <f>185.8+4.4</f>
        <v>190.20000000000002</v>
      </c>
      <c r="I363" s="82">
        <v>193.2</v>
      </c>
      <c r="J363" s="82">
        <v>201</v>
      </c>
    </row>
    <row r="364" spans="1:10" s="35" customFormat="1" ht="15.75" x14ac:dyDescent="0.25">
      <c r="A364" s="3"/>
      <c r="B364" s="73"/>
      <c r="C364" s="4" t="s">
        <v>75</v>
      </c>
      <c r="D364" s="3"/>
      <c r="E364" s="3"/>
      <c r="F364" s="3"/>
      <c r="G364" s="43" t="s">
        <v>76</v>
      </c>
      <c r="H364" s="156">
        <f>H365+H370+H383</f>
        <v>29704.1</v>
      </c>
      <c r="I364" s="156">
        <f>I365+I370+I383</f>
        <v>13427</v>
      </c>
      <c r="J364" s="156">
        <f>J365+J370+J383</f>
        <v>23486.9</v>
      </c>
    </row>
    <row r="365" spans="1:10" s="35" customFormat="1" ht="15.75" x14ac:dyDescent="0.25">
      <c r="A365" s="3"/>
      <c r="B365" s="73"/>
      <c r="C365" s="33" t="s">
        <v>75</v>
      </c>
      <c r="D365" s="33" t="s">
        <v>53</v>
      </c>
      <c r="E365" s="33"/>
      <c r="F365" s="33"/>
      <c r="G365" s="39" t="s">
        <v>77</v>
      </c>
      <c r="H365" s="161">
        <f t="shared" ref="H365:J366" si="125">H366</f>
        <v>6024.9</v>
      </c>
      <c r="I365" s="161">
        <f t="shared" si="125"/>
        <v>6024.9</v>
      </c>
      <c r="J365" s="161">
        <f t="shared" si="125"/>
        <v>6024.9000000000005</v>
      </c>
    </row>
    <row r="366" spans="1:10" s="35" customFormat="1" ht="89.25" x14ac:dyDescent="0.25">
      <c r="A366" s="3"/>
      <c r="B366" s="73"/>
      <c r="C366" s="5" t="s">
        <v>75</v>
      </c>
      <c r="D366" s="5" t="s">
        <v>53</v>
      </c>
      <c r="E366" s="57" t="s">
        <v>37</v>
      </c>
      <c r="F366" s="3"/>
      <c r="G366" s="114" t="s">
        <v>214</v>
      </c>
      <c r="H366" s="86">
        <f t="shared" si="125"/>
        <v>6024.9</v>
      </c>
      <c r="I366" s="86">
        <f t="shared" si="125"/>
        <v>6024.9</v>
      </c>
      <c r="J366" s="86">
        <f t="shared" si="125"/>
        <v>6024.9000000000005</v>
      </c>
    </row>
    <row r="367" spans="1:10" s="35" customFormat="1" ht="51" customHeight="1" x14ac:dyDescent="0.25">
      <c r="A367" s="3"/>
      <c r="B367" s="73"/>
      <c r="C367" s="16" t="s">
        <v>75</v>
      </c>
      <c r="D367" s="16" t="s">
        <v>53</v>
      </c>
      <c r="E367" s="46" t="s">
        <v>423</v>
      </c>
      <c r="F367" s="3"/>
      <c r="G367" s="40" t="s">
        <v>542</v>
      </c>
      <c r="H367" s="88">
        <f>H368</f>
        <v>6024.9</v>
      </c>
      <c r="I367" s="88">
        <f t="shared" ref="I367:J367" si="126">I368</f>
        <v>6024.9</v>
      </c>
      <c r="J367" s="88">
        <f t="shared" si="126"/>
        <v>6024.9000000000005</v>
      </c>
    </row>
    <row r="368" spans="1:10" s="35" customFormat="1" ht="26.25" x14ac:dyDescent="0.25">
      <c r="A368" s="3"/>
      <c r="B368" s="73"/>
      <c r="C368" s="16" t="s">
        <v>75</v>
      </c>
      <c r="D368" s="16" t="s">
        <v>53</v>
      </c>
      <c r="E368" s="62">
        <v>1150225110</v>
      </c>
      <c r="F368" s="3"/>
      <c r="G368" s="76" t="s">
        <v>152</v>
      </c>
      <c r="H368" s="82">
        <f t="shared" ref="H368:J368" si="127">H369</f>
        <v>6024.9</v>
      </c>
      <c r="I368" s="82">
        <f t="shared" si="127"/>
        <v>6024.9</v>
      </c>
      <c r="J368" s="82">
        <f t="shared" si="127"/>
        <v>6024.9000000000005</v>
      </c>
    </row>
    <row r="369" spans="1:10" s="35" customFormat="1" ht="25.5" x14ac:dyDescent="0.25">
      <c r="A369" s="3"/>
      <c r="B369" s="73"/>
      <c r="C369" s="16" t="s">
        <v>75</v>
      </c>
      <c r="D369" s="16" t="s">
        <v>53</v>
      </c>
      <c r="E369" s="62">
        <v>1150225110</v>
      </c>
      <c r="F369" s="65" t="s">
        <v>129</v>
      </c>
      <c r="G369" s="75" t="s">
        <v>130</v>
      </c>
      <c r="H369" s="113">
        <f>4414+1610.9</f>
        <v>6024.9</v>
      </c>
      <c r="I369" s="113">
        <f>4414+1610.9</f>
        <v>6024.9</v>
      </c>
      <c r="J369" s="113">
        <f>4414.1+1610.8</f>
        <v>6024.9000000000005</v>
      </c>
    </row>
    <row r="370" spans="1:10" s="35" customFormat="1" ht="15.75" x14ac:dyDescent="0.25">
      <c r="A370" s="3"/>
      <c r="B370" s="73"/>
      <c r="C370" s="33" t="s">
        <v>75</v>
      </c>
      <c r="D370" s="33" t="s">
        <v>58</v>
      </c>
      <c r="E370" s="33"/>
      <c r="F370" s="33"/>
      <c r="G370" s="39" t="s">
        <v>81</v>
      </c>
      <c r="H370" s="161">
        <f>H371+H379</f>
        <v>1922.7</v>
      </c>
      <c r="I370" s="161">
        <f t="shared" ref="I370:J370" si="128">I371+I379</f>
        <v>1179.4000000000001</v>
      </c>
      <c r="J370" s="161">
        <f t="shared" si="128"/>
        <v>1179.4000000000001</v>
      </c>
    </row>
    <row r="371" spans="1:10" s="35" customFormat="1" ht="89.25" x14ac:dyDescent="0.25">
      <c r="A371" s="3"/>
      <c r="B371" s="73"/>
      <c r="C371" s="5" t="s">
        <v>75</v>
      </c>
      <c r="D371" s="5" t="s">
        <v>58</v>
      </c>
      <c r="E371" s="57" t="s">
        <v>37</v>
      </c>
      <c r="F371" s="3"/>
      <c r="G371" s="114" t="s">
        <v>214</v>
      </c>
      <c r="H371" s="158">
        <f t="shared" ref="H371:J371" si="129">H372</f>
        <v>1547.7</v>
      </c>
      <c r="I371" s="158">
        <f t="shared" si="129"/>
        <v>1179.4000000000001</v>
      </c>
      <c r="J371" s="158">
        <f t="shared" si="129"/>
        <v>1179.4000000000001</v>
      </c>
    </row>
    <row r="372" spans="1:10" s="35" customFormat="1" ht="54.6" customHeight="1" x14ac:dyDescent="0.25">
      <c r="A372" s="3"/>
      <c r="B372" s="73"/>
      <c r="C372" s="41" t="s">
        <v>75</v>
      </c>
      <c r="D372" s="41" t="s">
        <v>58</v>
      </c>
      <c r="E372" s="46" t="s">
        <v>423</v>
      </c>
      <c r="F372" s="16"/>
      <c r="G372" s="40" t="s">
        <v>543</v>
      </c>
      <c r="H372" s="88">
        <f>H373+H375+H377</f>
        <v>1547.7</v>
      </c>
      <c r="I372" s="88">
        <f t="shared" ref="I372:J372" si="130">I373+I375+I377</f>
        <v>1179.4000000000001</v>
      </c>
      <c r="J372" s="88">
        <f t="shared" si="130"/>
        <v>1179.4000000000001</v>
      </c>
    </row>
    <row r="373" spans="1:10" s="35" customFormat="1" ht="69.599999999999994" customHeight="1" x14ac:dyDescent="0.25">
      <c r="A373" s="3"/>
      <c r="B373" s="73"/>
      <c r="C373" s="16" t="s">
        <v>75</v>
      </c>
      <c r="D373" s="16" t="s">
        <v>58</v>
      </c>
      <c r="E373" s="62">
        <v>1150227100</v>
      </c>
      <c r="F373" s="16"/>
      <c r="G373" s="75" t="s">
        <v>435</v>
      </c>
      <c r="H373" s="82">
        <f t="shared" ref="H373:J373" si="131">H374</f>
        <v>250</v>
      </c>
      <c r="I373" s="82">
        <f t="shared" si="131"/>
        <v>773</v>
      </c>
      <c r="J373" s="82">
        <f t="shared" si="131"/>
        <v>773</v>
      </c>
    </row>
    <row r="374" spans="1:10" s="35" customFormat="1" ht="77.25" x14ac:dyDescent="0.25">
      <c r="A374" s="3"/>
      <c r="B374" s="73"/>
      <c r="C374" s="16" t="s">
        <v>75</v>
      </c>
      <c r="D374" s="16" t="s">
        <v>58</v>
      </c>
      <c r="E374" s="62">
        <v>1150227100</v>
      </c>
      <c r="F374" s="16" t="s">
        <v>17</v>
      </c>
      <c r="G374" s="76" t="s">
        <v>151</v>
      </c>
      <c r="H374" s="82">
        <f>773-523</f>
        <v>250</v>
      </c>
      <c r="I374" s="82">
        <v>773</v>
      </c>
      <c r="J374" s="82">
        <v>773</v>
      </c>
    </row>
    <row r="375" spans="1:10" s="35" customFormat="1" ht="102" x14ac:dyDescent="0.25">
      <c r="A375" s="3"/>
      <c r="B375" s="73"/>
      <c r="C375" s="16" t="s">
        <v>75</v>
      </c>
      <c r="D375" s="16" t="s">
        <v>58</v>
      </c>
      <c r="E375" s="62">
        <v>1150227110</v>
      </c>
      <c r="F375" s="16"/>
      <c r="G375" s="75" t="s">
        <v>711</v>
      </c>
      <c r="H375" s="82">
        <f>H376</f>
        <v>523</v>
      </c>
      <c r="I375" s="82">
        <f t="shared" ref="I375:J375" si="132">I376</f>
        <v>0</v>
      </c>
      <c r="J375" s="82">
        <f t="shared" si="132"/>
        <v>0</v>
      </c>
    </row>
    <row r="376" spans="1:10" s="35" customFormat="1" ht="77.25" x14ac:dyDescent="0.25">
      <c r="A376" s="3"/>
      <c r="B376" s="73"/>
      <c r="C376" s="16" t="s">
        <v>75</v>
      </c>
      <c r="D376" s="16" t="s">
        <v>58</v>
      </c>
      <c r="E376" s="62">
        <v>1150227110</v>
      </c>
      <c r="F376" s="16" t="s">
        <v>17</v>
      </c>
      <c r="G376" s="76" t="s">
        <v>151</v>
      </c>
      <c r="H376" s="82">
        <v>523</v>
      </c>
      <c r="I376" s="82">
        <v>0</v>
      </c>
      <c r="J376" s="82">
        <v>0</v>
      </c>
    </row>
    <row r="377" spans="1:10" s="35" customFormat="1" ht="52.9" customHeight="1" x14ac:dyDescent="0.25">
      <c r="A377" s="3"/>
      <c r="B377" s="73"/>
      <c r="C377" s="16" t="s">
        <v>75</v>
      </c>
      <c r="D377" s="16" t="s">
        <v>58</v>
      </c>
      <c r="E377" s="62">
        <v>1150225120</v>
      </c>
      <c r="F377" s="16"/>
      <c r="G377" s="76" t="s">
        <v>428</v>
      </c>
      <c r="H377" s="82">
        <f>H378</f>
        <v>774.7</v>
      </c>
      <c r="I377" s="82">
        <f t="shared" ref="I377:J377" si="133">I378</f>
        <v>406.4</v>
      </c>
      <c r="J377" s="82">
        <f t="shared" si="133"/>
        <v>406.4</v>
      </c>
    </row>
    <row r="378" spans="1:10" s="35" customFormat="1" ht="26.25" x14ac:dyDescent="0.25">
      <c r="A378" s="3"/>
      <c r="B378" s="73"/>
      <c r="C378" s="16" t="s">
        <v>75</v>
      </c>
      <c r="D378" s="16" t="s">
        <v>58</v>
      </c>
      <c r="E378" s="62">
        <v>1150225120</v>
      </c>
      <c r="F378" s="172" t="s">
        <v>436</v>
      </c>
      <c r="G378" s="173" t="s">
        <v>437</v>
      </c>
      <c r="H378" s="82">
        <f>406.4+368.3</f>
        <v>774.7</v>
      </c>
      <c r="I378" s="82">
        <v>406.4</v>
      </c>
      <c r="J378" s="82">
        <v>406.4</v>
      </c>
    </row>
    <row r="379" spans="1:10" s="35" customFormat="1" ht="25.5" x14ac:dyDescent="0.25">
      <c r="A379" s="3"/>
      <c r="B379" s="73"/>
      <c r="C379" s="5" t="s">
        <v>75</v>
      </c>
      <c r="D379" s="5" t="s">
        <v>58</v>
      </c>
      <c r="E379" s="66">
        <v>9900000000</v>
      </c>
      <c r="F379" s="143"/>
      <c r="G379" s="67" t="s">
        <v>104</v>
      </c>
      <c r="H379" s="86">
        <f>H380</f>
        <v>375</v>
      </c>
      <c r="I379" s="86">
        <f t="shared" ref="I379:J379" si="134">I380</f>
        <v>0</v>
      </c>
      <c r="J379" s="86">
        <f t="shared" si="134"/>
        <v>0</v>
      </c>
    </row>
    <row r="380" spans="1:10" s="35" customFormat="1" ht="15.75" x14ac:dyDescent="0.25">
      <c r="A380" s="3"/>
      <c r="B380" s="73"/>
      <c r="C380" s="16" t="s">
        <v>75</v>
      </c>
      <c r="D380" s="16" t="s">
        <v>58</v>
      </c>
      <c r="E380" s="62">
        <v>9920000000</v>
      </c>
      <c r="F380" s="33"/>
      <c r="G380" s="93" t="s">
        <v>3</v>
      </c>
      <c r="H380" s="162">
        <f t="shared" ref="H380:J381" si="135">H381</f>
        <v>375</v>
      </c>
      <c r="I380" s="162">
        <f t="shared" si="135"/>
        <v>0</v>
      </c>
      <c r="J380" s="162">
        <f t="shared" si="135"/>
        <v>0</v>
      </c>
    </row>
    <row r="381" spans="1:10" s="35" customFormat="1" ht="26.25" x14ac:dyDescent="0.25">
      <c r="A381" s="3"/>
      <c r="B381" s="73"/>
      <c r="C381" s="16" t="s">
        <v>75</v>
      </c>
      <c r="D381" s="16" t="s">
        <v>58</v>
      </c>
      <c r="E381" s="62">
        <v>9920026100</v>
      </c>
      <c r="F381" s="19"/>
      <c r="G381" s="76" t="s">
        <v>9</v>
      </c>
      <c r="H381" s="113">
        <f t="shared" si="135"/>
        <v>375</v>
      </c>
      <c r="I381" s="113">
        <f t="shared" si="135"/>
        <v>0</v>
      </c>
      <c r="J381" s="113">
        <f t="shared" si="135"/>
        <v>0</v>
      </c>
    </row>
    <row r="382" spans="1:10" s="35" customFormat="1" ht="15.75" x14ac:dyDescent="0.25">
      <c r="A382" s="3"/>
      <c r="B382" s="73"/>
      <c r="C382" s="16" t="s">
        <v>75</v>
      </c>
      <c r="D382" s="16" t="s">
        <v>58</v>
      </c>
      <c r="E382" s="62">
        <v>9920026100</v>
      </c>
      <c r="F382" s="65" t="s">
        <v>589</v>
      </c>
      <c r="G382" s="75" t="s">
        <v>590</v>
      </c>
      <c r="H382" s="113">
        <f>50+150+175</f>
        <v>375</v>
      </c>
      <c r="I382" s="113">
        <v>0</v>
      </c>
      <c r="J382" s="113">
        <v>0</v>
      </c>
    </row>
    <row r="383" spans="1:10" s="35" customFormat="1" ht="14.25" x14ac:dyDescent="0.2">
      <c r="A383" s="1"/>
      <c r="B383" s="23"/>
      <c r="C383" s="33" t="s">
        <v>75</v>
      </c>
      <c r="D383" s="33" t="s">
        <v>59</v>
      </c>
      <c r="E383" s="33"/>
      <c r="F383" s="36"/>
      <c r="G383" s="44" t="s">
        <v>11</v>
      </c>
      <c r="H383" s="160">
        <f>H384</f>
        <v>21756.5</v>
      </c>
      <c r="I383" s="160">
        <f t="shared" ref="I383:J383" si="136">I384</f>
        <v>6222.7000000000007</v>
      </c>
      <c r="J383" s="160">
        <f t="shared" si="136"/>
        <v>16282.6</v>
      </c>
    </row>
    <row r="384" spans="1:10" s="35" customFormat="1" ht="89.25" x14ac:dyDescent="0.25">
      <c r="A384" s="1"/>
      <c r="B384" s="23"/>
      <c r="C384" s="5" t="s">
        <v>75</v>
      </c>
      <c r="D384" s="5" t="s">
        <v>59</v>
      </c>
      <c r="E384" s="57" t="s">
        <v>37</v>
      </c>
      <c r="F384" s="3"/>
      <c r="G384" s="114" t="s">
        <v>214</v>
      </c>
      <c r="H384" s="86">
        <f>H385+H388+H391</f>
        <v>21756.5</v>
      </c>
      <c r="I384" s="86">
        <f t="shared" ref="I384:J384" si="137">I385+I388+I391</f>
        <v>6222.7000000000007</v>
      </c>
      <c r="J384" s="86">
        <f t="shared" si="137"/>
        <v>16282.6</v>
      </c>
    </row>
    <row r="385" spans="1:10" s="35" customFormat="1" ht="53.25" customHeight="1" x14ac:dyDescent="0.2">
      <c r="A385" s="1"/>
      <c r="B385" s="23"/>
      <c r="C385" s="41" t="s">
        <v>75</v>
      </c>
      <c r="D385" s="41" t="s">
        <v>59</v>
      </c>
      <c r="E385" s="46" t="s">
        <v>426</v>
      </c>
      <c r="F385" s="33"/>
      <c r="G385" s="149" t="s">
        <v>424</v>
      </c>
      <c r="H385" s="88">
        <f>H386</f>
        <v>0</v>
      </c>
      <c r="I385" s="88">
        <f t="shared" ref="I385:J385" si="138">I386</f>
        <v>663.5</v>
      </c>
      <c r="J385" s="88">
        <f t="shared" si="138"/>
        <v>1683.7</v>
      </c>
    </row>
    <row r="386" spans="1:10" s="35" customFormat="1" ht="28.15" customHeight="1" x14ac:dyDescent="0.25">
      <c r="A386" s="1"/>
      <c r="B386" s="23"/>
      <c r="C386" s="16" t="s">
        <v>75</v>
      </c>
      <c r="D386" s="16" t="s">
        <v>59</v>
      </c>
      <c r="E386" s="19" t="s">
        <v>427</v>
      </c>
      <c r="F386" s="3"/>
      <c r="G386" s="148" t="s">
        <v>425</v>
      </c>
      <c r="H386" s="82">
        <f t="shared" ref="H386:J386" si="139">H387</f>
        <v>0</v>
      </c>
      <c r="I386" s="82">
        <f t="shared" si="139"/>
        <v>663.5</v>
      </c>
      <c r="J386" s="82">
        <f t="shared" si="139"/>
        <v>1683.7</v>
      </c>
    </row>
    <row r="387" spans="1:10" s="35" customFormat="1" ht="14.25" x14ac:dyDescent="0.2">
      <c r="A387" s="1"/>
      <c r="B387" s="23"/>
      <c r="C387" s="16" t="s">
        <v>75</v>
      </c>
      <c r="D387" s="16" t="s">
        <v>59</v>
      </c>
      <c r="E387" s="19" t="s">
        <v>427</v>
      </c>
      <c r="F387" s="65" t="s">
        <v>124</v>
      </c>
      <c r="G387" s="77" t="s">
        <v>123</v>
      </c>
      <c r="H387" s="82">
        <f>732.1+3121.7+48.3-3902.1</f>
        <v>0</v>
      </c>
      <c r="I387" s="82">
        <v>663.5</v>
      </c>
      <c r="J387" s="82">
        <v>1683.7</v>
      </c>
    </row>
    <row r="388" spans="1:10" s="35" customFormat="1" ht="58.15" customHeight="1" x14ac:dyDescent="0.2">
      <c r="A388" s="1"/>
      <c r="B388" s="23"/>
      <c r="C388" s="16" t="s">
        <v>75</v>
      </c>
      <c r="D388" s="16" t="s">
        <v>59</v>
      </c>
      <c r="E388" s="19" t="s">
        <v>432</v>
      </c>
      <c r="F388" s="33"/>
      <c r="G388" s="52" t="s">
        <v>544</v>
      </c>
      <c r="H388" s="113">
        <f>H389</f>
        <v>9203.1</v>
      </c>
      <c r="I388" s="113">
        <f t="shared" ref="I388:J388" si="140">I389</f>
        <v>3681.3</v>
      </c>
      <c r="J388" s="113">
        <f t="shared" si="140"/>
        <v>12884.3</v>
      </c>
    </row>
    <row r="389" spans="1:10" s="35" customFormat="1" ht="49.15" customHeight="1" x14ac:dyDescent="0.2">
      <c r="A389" s="1"/>
      <c r="B389" s="23"/>
      <c r="C389" s="16" t="s">
        <v>75</v>
      </c>
      <c r="D389" s="16" t="s">
        <v>59</v>
      </c>
      <c r="E389" s="58" t="s">
        <v>431</v>
      </c>
      <c r="F389" s="16"/>
      <c r="G389" s="75" t="s">
        <v>430</v>
      </c>
      <c r="H389" s="113">
        <f>H390</f>
        <v>9203.1</v>
      </c>
      <c r="I389" s="113">
        <f>I390</f>
        <v>3681.3</v>
      </c>
      <c r="J389" s="113">
        <f>J390</f>
        <v>12884.3</v>
      </c>
    </row>
    <row r="390" spans="1:10" s="35" customFormat="1" ht="14.25" x14ac:dyDescent="0.2">
      <c r="A390" s="1"/>
      <c r="B390" s="23"/>
      <c r="C390" s="16" t="s">
        <v>75</v>
      </c>
      <c r="D390" s="16" t="s">
        <v>59</v>
      </c>
      <c r="E390" s="58" t="s">
        <v>431</v>
      </c>
      <c r="F390" s="65" t="s">
        <v>124</v>
      </c>
      <c r="G390" s="77" t="s">
        <v>123</v>
      </c>
      <c r="H390" s="162">
        <f>7362.5+1840.6</f>
        <v>9203.1</v>
      </c>
      <c r="I390" s="162">
        <v>3681.3</v>
      </c>
      <c r="J390" s="162">
        <v>12884.3</v>
      </c>
    </row>
    <row r="391" spans="1:10" s="35" customFormat="1" ht="39.75" customHeight="1" x14ac:dyDescent="0.2">
      <c r="A391" s="1"/>
      <c r="B391" s="23"/>
      <c r="C391" s="16" t="s">
        <v>75</v>
      </c>
      <c r="D391" s="16" t="s">
        <v>59</v>
      </c>
      <c r="E391" s="19" t="s">
        <v>434</v>
      </c>
      <c r="F391" s="65"/>
      <c r="G391" s="52" t="s">
        <v>429</v>
      </c>
      <c r="H391" s="82">
        <f t="shared" ref="H391:J392" si="141">H392</f>
        <v>12553.400000000001</v>
      </c>
      <c r="I391" s="82">
        <f t="shared" si="141"/>
        <v>1877.9</v>
      </c>
      <c r="J391" s="82">
        <f t="shared" si="141"/>
        <v>1714.6</v>
      </c>
    </row>
    <row r="392" spans="1:10" s="35" customFormat="1" ht="51" x14ac:dyDescent="0.2">
      <c r="A392" s="1"/>
      <c r="B392" s="23"/>
      <c r="C392" s="16" t="s">
        <v>75</v>
      </c>
      <c r="D392" s="16" t="s">
        <v>59</v>
      </c>
      <c r="E392" s="58" t="s">
        <v>433</v>
      </c>
      <c r="F392" s="16"/>
      <c r="G392" s="75" t="s">
        <v>520</v>
      </c>
      <c r="H392" s="162">
        <f t="shared" si="141"/>
        <v>12553.400000000001</v>
      </c>
      <c r="I392" s="162">
        <f t="shared" si="141"/>
        <v>1877.9</v>
      </c>
      <c r="J392" s="162">
        <f t="shared" si="141"/>
        <v>1714.6</v>
      </c>
    </row>
    <row r="393" spans="1:10" s="35" customFormat="1" ht="38.25" x14ac:dyDescent="0.2">
      <c r="A393" s="1"/>
      <c r="B393" s="23"/>
      <c r="C393" s="16" t="s">
        <v>75</v>
      </c>
      <c r="D393" s="16" t="s">
        <v>59</v>
      </c>
      <c r="E393" s="58" t="s">
        <v>433</v>
      </c>
      <c r="F393" s="65" t="s">
        <v>126</v>
      </c>
      <c r="G393" s="75" t="s">
        <v>125</v>
      </c>
      <c r="H393" s="162">
        <f>2510.7+10042.7</f>
        <v>12553.400000000001</v>
      </c>
      <c r="I393" s="162">
        <v>1877.9</v>
      </c>
      <c r="J393" s="162">
        <v>1714.6</v>
      </c>
    </row>
    <row r="394" spans="1:10" s="35" customFormat="1" ht="18" customHeight="1" x14ac:dyDescent="0.25">
      <c r="A394" s="1"/>
      <c r="B394" s="23"/>
      <c r="C394" s="4" t="s">
        <v>87</v>
      </c>
      <c r="D394" s="3"/>
      <c r="E394" s="3"/>
      <c r="F394" s="3"/>
      <c r="G394" s="43" t="s">
        <v>6</v>
      </c>
      <c r="H394" s="156">
        <f t="shared" ref="H394:J395" si="142">H395</f>
        <v>6154.2999999999993</v>
      </c>
      <c r="I394" s="156">
        <f t="shared" si="142"/>
        <v>4893.3999999999996</v>
      </c>
      <c r="J394" s="156">
        <f t="shared" si="142"/>
        <v>4954.7</v>
      </c>
    </row>
    <row r="395" spans="1:10" s="35" customFormat="1" ht="28.5" x14ac:dyDescent="0.2">
      <c r="A395" s="1"/>
      <c r="B395" s="23"/>
      <c r="C395" s="33" t="s">
        <v>87</v>
      </c>
      <c r="D395" s="33" t="s">
        <v>59</v>
      </c>
      <c r="E395" s="33"/>
      <c r="F395" s="33"/>
      <c r="G395" s="44" t="s">
        <v>12</v>
      </c>
      <c r="H395" s="160">
        <f>H396</f>
        <v>6154.2999999999993</v>
      </c>
      <c r="I395" s="160">
        <f t="shared" si="142"/>
        <v>4893.3999999999996</v>
      </c>
      <c r="J395" s="160">
        <f t="shared" si="142"/>
        <v>4954.7</v>
      </c>
    </row>
    <row r="396" spans="1:10" s="35" customFormat="1" ht="89.25" x14ac:dyDescent="0.25">
      <c r="A396" s="1"/>
      <c r="B396" s="23"/>
      <c r="C396" s="16" t="s">
        <v>87</v>
      </c>
      <c r="D396" s="16" t="s">
        <v>59</v>
      </c>
      <c r="E396" s="58">
        <v>400000000</v>
      </c>
      <c r="F396" s="28"/>
      <c r="G396" s="115" t="s">
        <v>207</v>
      </c>
      <c r="H396" s="158">
        <f>H397</f>
        <v>6154.2999999999993</v>
      </c>
      <c r="I396" s="158">
        <f t="shared" ref="I396:J396" si="143">I397</f>
        <v>4893.3999999999996</v>
      </c>
      <c r="J396" s="158">
        <f t="shared" si="143"/>
        <v>4954.7</v>
      </c>
    </row>
    <row r="397" spans="1:10" s="35" customFormat="1" ht="18" customHeight="1" x14ac:dyDescent="0.2">
      <c r="A397" s="1"/>
      <c r="B397" s="23"/>
      <c r="C397" s="16" t="s">
        <v>87</v>
      </c>
      <c r="D397" s="16" t="s">
        <v>59</v>
      </c>
      <c r="E397" s="58">
        <v>450100000</v>
      </c>
      <c r="F397" s="16"/>
      <c r="G397" s="40" t="s">
        <v>307</v>
      </c>
      <c r="H397" s="82">
        <f>H398+H400+H402+H404+H406</f>
        <v>6154.2999999999993</v>
      </c>
      <c r="I397" s="82">
        <f t="shared" ref="I397:J397" si="144">I398+I400+I402+I404+I406</f>
        <v>4893.3999999999996</v>
      </c>
      <c r="J397" s="82">
        <f t="shared" si="144"/>
        <v>4954.7</v>
      </c>
    </row>
    <row r="398" spans="1:10" s="35" customFormat="1" ht="27" customHeight="1" x14ac:dyDescent="0.2">
      <c r="A398" s="1"/>
      <c r="B398" s="23"/>
      <c r="C398" s="16" t="s">
        <v>87</v>
      </c>
      <c r="D398" s="16" t="s">
        <v>59</v>
      </c>
      <c r="E398" s="58" t="s">
        <v>386</v>
      </c>
      <c r="F398" s="16"/>
      <c r="G398" s="76" t="s">
        <v>534</v>
      </c>
      <c r="H398" s="82">
        <f>H399</f>
        <v>2587.9</v>
      </c>
      <c r="I398" s="82">
        <f t="shared" ref="I398:J398" si="145">I399</f>
        <v>1630.7</v>
      </c>
      <c r="J398" s="82">
        <f t="shared" si="145"/>
        <v>1630.7</v>
      </c>
    </row>
    <row r="399" spans="1:10" s="35" customFormat="1" ht="76.5" x14ac:dyDescent="0.2">
      <c r="A399" s="1"/>
      <c r="B399" s="23"/>
      <c r="C399" s="16" t="s">
        <v>87</v>
      </c>
      <c r="D399" s="16" t="s">
        <v>59</v>
      </c>
      <c r="E399" s="58" t="s">
        <v>386</v>
      </c>
      <c r="F399" s="16" t="s">
        <v>17</v>
      </c>
      <c r="G399" s="76" t="s">
        <v>151</v>
      </c>
      <c r="H399" s="82">
        <f>1630.7+270+528.6+158.6</f>
        <v>2587.9</v>
      </c>
      <c r="I399" s="82">
        <v>1630.7</v>
      </c>
      <c r="J399" s="82">
        <v>1630.7</v>
      </c>
    </row>
    <row r="400" spans="1:10" s="35" customFormat="1" ht="67.150000000000006" customHeight="1" x14ac:dyDescent="0.2">
      <c r="A400" s="1"/>
      <c r="B400" s="23"/>
      <c r="C400" s="16" t="s">
        <v>87</v>
      </c>
      <c r="D400" s="16" t="s">
        <v>59</v>
      </c>
      <c r="E400" s="58">
        <v>450123340</v>
      </c>
      <c r="F400" s="16"/>
      <c r="G400" s="76" t="s">
        <v>190</v>
      </c>
      <c r="H400" s="82">
        <f>H401</f>
        <v>1710</v>
      </c>
      <c r="I400" s="82">
        <f t="shared" ref="I400:J400" si="146">I401</f>
        <v>1710</v>
      </c>
      <c r="J400" s="82">
        <f t="shared" si="146"/>
        <v>1710</v>
      </c>
    </row>
    <row r="401" spans="1:10" s="35" customFormat="1" ht="38.25" x14ac:dyDescent="0.2">
      <c r="A401" s="1"/>
      <c r="B401" s="23"/>
      <c r="C401" s="16" t="s">
        <v>87</v>
      </c>
      <c r="D401" s="16" t="s">
        <v>59</v>
      </c>
      <c r="E401" s="58">
        <v>450123340</v>
      </c>
      <c r="F401" s="65" t="s">
        <v>119</v>
      </c>
      <c r="G401" s="75" t="s">
        <v>120</v>
      </c>
      <c r="H401" s="82">
        <v>1710</v>
      </c>
      <c r="I401" s="82">
        <v>1710</v>
      </c>
      <c r="J401" s="82">
        <v>1710</v>
      </c>
    </row>
    <row r="402" spans="1:10" s="35" customFormat="1" ht="43.9" customHeight="1" x14ac:dyDescent="0.2">
      <c r="A402" s="1"/>
      <c r="B402" s="23"/>
      <c r="C402" s="16" t="s">
        <v>87</v>
      </c>
      <c r="D402" s="16" t="s">
        <v>59</v>
      </c>
      <c r="E402" s="58" t="s">
        <v>387</v>
      </c>
      <c r="F402" s="16"/>
      <c r="G402" s="76" t="s">
        <v>388</v>
      </c>
      <c r="H402" s="82">
        <f>H403</f>
        <v>92</v>
      </c>
      <c r="I402" s="82">
        <f t="shared" ref="I402:J402" si="147">I403</f>
        <v>30</v>
      </c>
      <c r="J402" s="82">
        <f t="shared" si="147"/>
        <v>30</v>
      </c>
    </row>
    <row r="403" spans="1:10" s="35" customFormat="1" ht="78.599999999999994" customHeight="1" x14ac:dyDescent="0.2">
      <c r="A403" s="1"/>
      <c r="B403" s="23"/>
      <c r="C403" s="16" t="s">
        <v>87</v>
      </c>
      <c r="D403" s="16" t="s">
        <v>59</v>
      </c>
      <c r="E403" s="58" t="s">
        <v>387</v>
      </c>
      <c r="F403" s="16" t="s">
        <v>17</v>
      </c>
      <c r="G403" s="76" t="s">
        <v>151</v>
      </c>
      <c r="H403" s="82">
        <f>30+62</f>
        <v>92</v>
      </c>
      <c r="I403" s="82">
        <v>30</v>
      </c>
      <c r="J403" s="82">
        <v>30</v>
      </c>
    </row>
    <row r="404" spans="1:10" s="35" customFormat="1" ht="68.25" customHeight="1" x14ac:dyDescent="0.2">
      <c r="A404" s="1"/>
      <c r="B404" s="23"/>
      <c r="C404" s="16" t="s">
        <v>87</v>
      </c>
      <c r="D404" s="16" t="s">
        <v>59</v>
      </c>
      <c r="E404" s="19" t="s">
        <v>390</v>
      </c>
      <c r="F404" s="28"/>
      <c r="G404" s="75" t="s">
        <v>389</v>
      </c>
      <c r="H404" s="82">
        <f>H405</f>
        <v>1182</v>
      </c>
      <c r="I404" s="82">
        <f>I405</f>
        <v>917</v>
      </c>
      <c r="J404" s="82">
        <f>J405</f>
        <v>954</v>
      </c>
    </row>
    <row r="405" spans="1:10" s="35" customFormat="1" ht="38.25" x14ac:dyDescent="0.2">
      <c r="A405" s="1"/>
      <c r="B405" s="23"/>
      <c r="C405" s="16" t="s">
        <v>87</v>
      </c>
      <c r="D405" s="16" t="s">
        <v>59</v>
      </c>
      <c r="E405" s="19" t="s">
        <v>390</v>
      </c>
      <c r="F405" s="65" t="s">
        <v>119</v>
      </c>
      <c r="G405" s="75" t="s">
        <v>120</v>
      </c>
      <c r="H405" s="82">
        <f>882+500-200</f>
        <v>1182</v>
      </c>
      <c r="I405" s="82">
        <v>917</v>
      </c>
      <c r="J405" s="82">
        <v>954</v>
      </c>
    </row>
    <row r="406" spans="1:10" s="35" customFormat="1" ht="69" customHeight="1" x14ac:dyDescent="0.2">
      <c r="A406" s="1"/>
      <c r="B406" s="23"/>
      <c r="C406" s="16" t="s">
        <v>87</v>
      </c>
      <c r="D406" s="16" t="s">
        <v>59</v>
      </c>
      <c r="E406" s="58">
        <v>450123360</v>
      </c>
      <c r="F406" s="65"/>
      <c r="G406" s="75" t="s">
        <v>391</v>
      </c>
      <c r="H406" s="82">
        <f>H407</f>
        <v>582.4</v>
      </c>
      <c r="I406" s="82">
        <f t="shared" ref="I406:J406" si="148">I407</f>
        <v>605.70000000000005</v>
      </c>
      <c r="J406" s="82">
        <f t="shared" si="148"/>
        <v>630</v>
      </c>
    </row>
    <row r="407" spans="1:10" s="35" customFormat="1" ht="38.25" x14ac:dyDescent="0.2">
      <c r="A407" s="1"/>
      <c r="B407" s="23"/>
      <c r="C407" s="16" t="s">
        <v>87</v>
      </c>
      <c r="D407" s="16" t="s">
        <v>59</v>
      </c>
      <c r="E407" s="58">
        <v>450123360</v>
      </c>
      <c r="F407" s="65" t="s">
        <v>119</v>
      </c>
      <c r="G407" s="75" t="s">
        <v>120</v>
      </c>
      <c r="H407" s="82">
        <v>582.4</v>
      </c>
      <c r="I407" s="82">
        <v>605.70000000000005</v>
      </c>
      <c r="J407" s="82">
        <v>630</v>
      </c>
    </row>
    <row r="408" spans="1:10" s="35" customFormat="1" ht="108" x14ac:dyDescent="0.25">
      <c r="A408" s="3">
        <v>4</v>
      </c>
      <c r="B408" s="73">
        <v>929</v>
      </c>
      <c r="C408" s="13"/>
      <c r="D408" s="13"/>
      <c r="E408" s="13"/>
      <c r="F408" s="13"/>
      <c r="G408" s="118" t="s">
        <v>226</v>
      </c>
      <c r="H408" s="158">
        <f>H409+H547</f>
        <v>914630.29999999993</v>
      </c>
      <c r="I408" s="158">
        <f>I409+I547</f>
        <v>898388.59999999974</v>
      </c>
      <c r="J408" s="158">
        <f>J409+J547</f>
        <v>899977.7</v>
      </c>
    </row>
    <row r="409" spans="1:10" s="35" customFormat="1" ht="15.75" x14ac:dyDescent="0.25">
      <c r="A409" s="3"/>
      <c r="B409" s="73"/>
      <c r="C409" s="4" t="s">
        <v>69</v>
      </c>
      <c r="D409" s="3"/>
      <c r="E409" s="3"/>
      <c r="F409" s="3"/>
      <c r="G409" s="43" t="s">
        <v>70</v>
      </c>
      <c r="H409" s="158">
        <f>H410+H429+H477+H511+H516</f>
        <v>905068.29999999993</v>
      </c>
      <c r="I409" s="158">
        <f>I410+I429+I477+I511+I516</f>
        <v>888826.59999999974</v>
      </c>
      <c r="J409" s="158">
        <f>J410+J429+J477+J511+J516</f>
        <v>890415.7</v>
      </c>
    </row>
    <row r="410" spans="1:10" s="35" customFormat="1" ht="14.25" x14ac:dyDescent="0.2">
      <c r="A410" s="25"/>
      <c r="B410" s="56"/>
      <c r="C410" s="33" t="s">
        <v>69</v>
      </c>
      <c r="D410" s="33" t="s">
        <v>53</v>
      </c>
      <c r="E410" s="33"/>
      <c r="F410" s="33"/>
      <c r="G410" s="39" t="s">
        <v>72</v>
      </c>
      <c r="H410" s="163">
        <f>H411+H426</f>
        <v>220363.5</v>
      </c>
      <c r="I410" s="163">
        <f t="shared" ref="I410:J410" si="149">I411+I426</f>
        <v>216344.8</v>
      </c>
      <c r="J410" s="163">
        <f t="shared" si="149"/>
        <v>216963.59999999998</v>
      </c>
    </row>
    <row r="411" spans="1:10" s="35" customFormat="1" ht="89.25" x14ac:dyDescent="0.2">
      <c r="A411" s="25"/>
      <c r="B411" s="56"/>
      <c r="C411" s="16" t="s">
        <v>69</v>
      </c>
      <c r="D411" s="16" t="s">
        <v>53</v>
      </c>
      <c r="E411" s="19" t="s">
        <v>46</v>
      </c>
      <c r="F411" s="33"/>
      <c r="G411" s="126" t="s">
        <v>204</v>
      </c>
      <c r="H411" s="164">
        <f>H412+H415</f>
        <v>219558.5</v>
      </c>
      <c r="I411" s="164">
        <f t="shared" ref="I411:J411" si="150">I412+I415</f>
        <v>216344.8</v>
      </c>
      <c r="J411" s="164">
        <f t="shared" si="150"/>
        <v>216963.59999999998</v>
      </c>
    </row>
    <row r="412" spans="1:10" s="35" customFormat="1" ht="54.75" customHeight="1" x14ac:dyDescent="0.2">
      <c r="A412" s="25"/>
      <c r="B412" s="56"/>
      <c r="C412" s="41" t="s">
        <v>69</v>
      </c>
      <c r="D412" s="41" t="s">
        <v>53</v>
      </c>
      <c r="E412" s="46" t="s">
        <v>134</v>
      </c>
      <c r="F412" s="33"/>
      <c r="G412" s="130" t="s">
        <v>252</v>
      </c>
      <c r="H412" s="162">
        <f>H413</f>
        <v>1500</v>
      </c>
      <c r="I412" s="162">
        <f t="shared" ref="I412:J412" si="151">I413</f>
        <v>0</v>
      </c>
      <c r="J412" s="162">
        <f t="shared" si="151"/>
        <v>0</v>
      </c>
    </row>
    <row r="413" spans="1:10" s="35" customFormat="1" ht="75" x14ac:dyDescent="0.25">
      <c r="A413" s="25"/>
      <c r="B413" s="56"/>
      <c r="C413" s="16" t="s">
        <v>69</v>
      </c>
      <c r="D413" s="16" t="s">
        <v>53</v>
      </c>
      <c r="E413" s="19" t="s">
        <v>236</v>
      </c>
      <c r="F413" s="33"/>
      <c r="G413" s="124" t="s">
        <v>200</v>
      </c>
      <c r="H413" s="162">
        <f>H414</f>
        <v>1500</v>
      </c>
      <c r="I413" s="162">
        <f t="shared" ref="I413:J413" si="152">I414</f>
        <v>0</v>
      </c>
      <c r="J413" s="162">
        <f t="shared" si="152"/>
        <v>0</v>
      </c>
    </row>
    <row r="414" spans="1:10" s="35" customFormat="1" ht="14.25" x14ac:dyDescent="0.2">
      <c r="A414" s="25"/>
      <c r="B414" s="56"/>
      <c r="C414" s="16" t="s">
        <v>69</v>
      </c>
      <c r="D414" s="16" t="s">
        <v>53</v>
      </c>
      <c r="E414" s="19" t="s">
        <v>236</v>
      </c>
      <c r="F414" s="19" t="s">
        <v>122</v>
      </c>
      <c r="G414" s="75" t="s">
        <v>121</v>
      </c>
      <c r="H414" s="162">
        <v>1500</v>
      </c>
      <c r="I414" s="162">
        <v>0</v>
      </c>
      <c r="J414" s="162">
        <v>0</v>
      </c>
    </row>
    <row r="415" spans="1:10" s="35" customFormat="1" ht="42.75" customHeight="1" x14ac:dyDescent="0.2">
      <c r="A415" s="25"/>
      <c r="B415" s="56"/>
      <c r="C415" s="41" t="s">
        <v>69</v>
      </c>
      <c r="D415" s="41" t="s">
        <v>53</v>
      </c>
      <c r="E415" s="46" t="s">
        <v>239</v>
      </c>
      <c r="F415" s="19"/>
      <c r="G415" s="51" t="s">
        <v>237</v>
      </c>
      <c r="H415" s="162">
        <f>H416+H418+H420+H422+H424</f>
        <v>218058.5</v>
      </c>
      <c r="I415" s="162">
        <f t="shared" ref="I415:J415" si="153">I416+I418+I420+I422+I424</f>
        <v>216344.8</v>
      </c>
      <c r="J415" s="162">
        <f t="shared" si="153"/>
        <v>216963.59999999998</v>
      </c>
    </row>
    <row r="416" spans="1:10" s="35" customFormat="1" ht="51.75" customHeight="1" x14ac:dyDescent="0.2">
      <c r="A416" s="25"/>
      <c r="B416" s="56"/>
      <c r="C416" s="49" t="s">
        <v>69</v>
      </c>
      <c r="D416" s="49" t="s">
        <v>53</v>
      </c>
      <c r="E416" s="19" t="s">
        <v>238</v>
      </c>
      <c r="F416" s="19"/>
      <c r="G416" s="75" t="s">
        <v>158</v>
      </c>
      <c r="H416" s="162">
        <f>H417</f>
        <v>123306.5</v>
      </c>
      <c r="I416" s="162">
        <f t="shared" ref="I416:J416" si="154">I417</f>
        <v>123857.9</v>
      </c>
      <c r="J416" s="162">
        <f t="shared" si="154"/>
        <v>124476.7</v>
      </c>
    </row>
    <row r="417" spans="1:10" s="35" customFormat="1" ht="14.25" x14ac:dyDescent="0.2">
      <c r="A417" s="25"/>
      <c r="B417" s="56"/>
      <c r="C417" s="49" t="s">
        <v>69</v>
      </c>
      <c r="D417" s="49" t="s">
        <v>53</v>
      </c>
      <c r="E417" s="19" t="s">
        <v>238</v>
      </c>
      <c r="F417" s="19" t="s">
        <v>122</v>
      </c>
      <c r="G417" s="75" t="s">
        <v>121</v>
      </c>
      <c r="H417" s="165">
        <v>123306.5</v>
      </c>
      <c r="I417" s="165">
        <v>123857.9</v>
      </c>
      <c r="J417" s="165">
        <v>124476.7</v>
      </c>
    </row>
    <row r="418" spans="1:10" s="35" customFormat="1" ht="76.5" x14ac:dyDescent="0.25">
      <c r="A418" s="25"/>
      <c r="B418" s="56"/>
      <c r="C418" s="49" t="s">
        <v>69</v>
      </c>
      <c r="D418" s="49" t="s">
        <v>53</v>
      </c>
      <c r="E418" s="95" t="s">
        <v>240</v>
      </c>
      <c r="F418" s="19"/>
      <c r="G418" s="127" t="s">
        <v>159</v>
      </c>
      <c r="H418" s="162">
        <f>H419</f>
        <v>92179.599999999991</v>
      </c>
      <c r="I418" s="162">
        <f t="shared" ref="I418:J418" si="155">I419</f>
        <v>92086.9</v>
      </c>
      <c r="J418" s="162">
        <f t="shared" si="155"/>
        <v>92086.9</v>
      </c>
    </row>
    <row r="419" spans="1:10" s="35" customFormat="1" ht="15" x14ac:dyDescent="0.25">
      <c r="A419" s="25"/>
      <c r="B419" s="56"/>
      <c r="C419" s="49" t="s">
        <v>69</v>
      </c>
      <c r="D419" s="49" t="s">
        <v>53</v>
      </c>
      <c r="E419" s="95" t="s">
        <v>240</v>
      </c>
      <c r="F419" s="19" t="s">
        <v>122</v>
      </c>
      <c r="G419" s="75" t="s">
        <v>121</v>
      </c>
      <c r="H419" s="162">
        <f>92086.9+198.5-105.8</f>
        <v>92179.599999999991</v>
      </c>
      <c r="I419" s="162">
        <v>92086.9</v>
      </c>
      <c r="J419" s="162">
        <v>92086.9</v>
      </c>
    </row>
    <row r="420" spans="1:10" s="35" customFormat="1" ht="63.75" x14ac:dyDescent="0.2">
      <c r="A420" s="25"/>
      <c r="B420" s="56"/>
      <c r="C420" s="49" t="s">
        <v>69</v>
      </c>
      <c r="D420" s="49" t="s">
        <v>53</v>
      </c>
      <c r="E420" s="19" t="s">
        <v>243</v>
      </c>
      <c r="F420" s="50"/>
      <c r="G420" s="127" t="s">
        <v>241</v>
      </c>
      <c r="H420" s="162">
        <f>H421</f>
        <v>1464.2</v>
      </c>
      <c r="I420" s="162">
        <f t="shared" ref="I420:J420" si="156">I421</f>
        <v>200</v>
      </c>
      <c r="J420" s="162">
        <f t="shared" si="156"/>
        <v>200</v>
      </c>
    </row>
    <row r="421" spans="1:10" s="35" customFormat="1" ht="14.25" x14ac:dyDescent="0.2">
      <c r="A421" s="25"/>
      <c r="B421" s="56"/>
      <c r="C421" s="49" t="s">
        <v>69</v>
      </c>
      <c r="D421" s="49" t="s">
        <v>53</v>
      </c>
      <c r="E421" s="19" t="s">
        <v>243</v>
      </c>
      <c r="F421" s="19" t="s">
        <v>122</v>
      </c>
      <c r="G421" s="75" t="s">
        <v>121</v>
      </c>
      <c r="H421" s="162">
        <f>871.1-200+793.1</f>
        <v>1464.2</v>
      </c>
      <c r="I421" s="162">
        <v>200</v>
      </c>
      <c r="J421" s="162">
        <v>200</v>
      </c>
    </row>
    <row r="422" spans="1:10" s="35" customFormat="1" ht="42.75" customHeight="1" x14ac:dyDescent="0.2">
      <c r="A422" s="25"/>
      <c r="B422" s="56"/>
      <c r="C422" s="49" t="s">
        <v>69</v>
      </c>
      <c r="D422" s="49" t="s">
        <v>53</v>
      </c>
      <c r="E422" s="50" t="s">
        <v>242</v>
      </c>
      <c r="F422" s="19"/>
      <c r="G422" s="75" t="s">
        <v>244</v>
      </c>
      <c r="H422" s="162">
        <f t="shared" ref="H422:J422" si="157">H423</f>
        <v>908.2</v>
      </c>
      <c r="I422" s="162">
        <f t="shared" si="157"/>
        <v>200</v>
      </c>
      <c r="J422" s="162">
        <f t="shared" si="157"/>
        <v>200</v>
      </c>
    </row>
    <row r="423" spans="1:10" s="35" customFormat="1" ht="14.25" x14ac:dyDescent="0.2">
      <c r="A423" s="25"/>
      <c r="B423" s="56"/>
      <c r="C423" s="49" t="s">
        <v>69</v>
      </c>
      <c r="D423" s="49" t="s">
        <v>53</v>
      </c>
      <c r="E423" s="50" t="s">
        <v>242</v>
      </c>
      <c r="F423" s="19" t="s">
        <v>122</v>
      </c>
      <c r="G423" s="75" t="s">
        <v>121</v>
      </c>
      <c r="H423" s="162">
        <f>141+767.2</f>
        <v>908.2</v>
      </c>
      <c r="I423" s="162">
        <v>200</v>
      </c>
      <c r="J423" s="162">
        <v>200</v>
      </c>
    </row>
    <row r="424" spans="1:10" s="35" customFormat="1" ht="38.25" x14ac:dyDescent="0.2">
      <c r="A424" s="25"/>
      <c r="B424" s="56"/>
      <c r="C424" s="49" t="s">
        <v>69</v>
      </c>
      <c r="D424" s="49" t="s">
        <v>53</v>
      </c>
      <c r="E424" s="50" t="s">
        <v>611</v>
      </c>
      <c r="F424" s="19"/>
      <c r="G424" s="75" t="s">
        <v>612</v>
      </c>
      <c r="H424" s="162">
        <f>H425</f>
        <v>200</v>
      </c>
      <c r="I424" s="162">
        <f t="shared" ref="I424:J424" si="158">I425</f>
        <v>0</v>
      </c>
      <c r="J424" s="162">
        <f t="shared" si="158"/>
        <v>0</v>
      </c>
    </row>
    <row r="425" spans="1:10" s="35" customFormat="1" ht="14.25" x14ac:dyDescent="0.2">
      <c r="A425" s="25"/>
      <c r="B425" s="56"/>
      <c r="C425" s="49" t="s">
        <v>69</v>
      </c>
      <c r="D425" s="49" t="s">
        <v>53</v>
      </c>
      <c r="E425" s="50" t="s">
        <v>611</v>
      </c>
      <c r="F425" s="19" t="s">
        <v>122</v>
      </c>
      <c r="G425" s="75" t="s">
        <v>121</v>
      </c>
      <c r="H425" s="162">
        <v>200</v>
      </c>
      <c r="I425" s="162">
        <v>0</v>
      </c>
      <c r="J425" s="162">
        <v>0</v>
      </c>
    </row>
    <row r="426" spans="1:10" s="35" customFormat="1" ht="38.25" x14ac:dyDescent="0.2">
      <c r="A426" s="25"/>
      <c r="B426" s="56"/>
      <c r="C426" s="49" t="s">
        <v>69</v>
      </c>
      <c r="D426" s="49" t="s">
        <v>53</v>
      </c>
      <c r="E426" s="65" t="s">
        <v>22</v>
      </c>
      <c r="F426" s="65"/>
      <c r="G426" s="76" t="s">
        <v>28</v>
      </c>
      <c r="H426" s="182">
        <f>H427</f>
        <v>805</v>
      </c>
      <c r="I426" s="182">
        <f t="shared" ref="I426:J426" si="159">I427</f>
        <v>0</v>
      </c>
      <c r="J426" s="182">
        <f t="shared" si="159"/>
        <v>0</v>
      </c>
    </row>
    <row r="427" spans="1:10" s="35" customFormat="1" ht="51" x14ac:dyDescent="0.2">
      <c r="A427" s="25"/>
      <c r="B427" s="56"/>
      <c r="C427" s="49" t="s">
        <v>69</v>
      </c>
      <c r="D427" s="49" t="s">
        <v>53</v>
      </c>
      <c r="E427" s="65" t="s">
        <v>599</v>
      </c>
      <c r="F427" s="16"/>
      <c r="G427" s="106" t="s">
        <v>607</v>
      </c>
      <c r="H427" s="182">
        <f>SUM(H428:H428)</f>
        <v>805</v>
      </c>
      <c r="I427" s="182">
        <f>SUM(I428:I428)</f>
        <v>0</v>
      </c>
      <c r="J427" s="182">
        <f>SUM(J428:J428)</f>
        <v>0</v>
      </c>
    </row>
    <row r="428" spans="1:10" s="35" customFormat="1" ht="14.25" x14ac:dyDescent="0.2">
      <c r="A428" s="25"/>
      <c r="B428" s="56"/>
      <c r="C428" s="49" t="s">
        <v>69</v>
      </c>
      <c r="D428" s="49" t="s">
        <v>53</v>
      </c>
      <c r="E428" s="65" t="s">
        <v>599</v>
      </c>
      <c r="F428" s="19" t="s">
        <v>122</v>
      </c>
      <c r="G428" s="75" t="s">
        <v>121</v>
      </c>
      <c r="H428" s="37">
        <v>805</v>
      </c>
      <c r="I428" s="37">
        <v>0</v>
      </c>
      <c r="J428" s="37">
        <v>0</v>
      </c>
    </row>
    <row r="429" spans="1:10" s="35" customFormat="1" ht="14.25" x14ac:dyDescent="0.2">
      <c r="A429" s="25"/>
      <c r="B429" s="56"/>
      <c r="C429" s="33" t="s">
        <v>69</v>
      </c>
      <c r="D429" s="33" t="s">
        <v>54</v>
      </c>
      <c r="E429" s="33"/>
      <c r="F429" s="33"/>
      <c r="G429" s="39" t="s">
        <v>73</v>
      </c>
      <c r="H429" s="161">
        <f>H430+H474</f>
        <v>582339.69999999995</v>
      </c>
      <c r="I429" s="161">
        <f t="shared" ref="I429:J429" si="160">I430+I474</f>
        <v>574988.29999999993</v>
      </c>
      <c r="J429" s="161">
        <f t="shared" si="160"/>
        <v>576158.60000000009</v>
      </c>
    </row>
    <row r="430" spans="1:10" s="35" customFormat="1" ht="89.25" x14ac:dyDescent="0.25">
      <c r="A430" s="25"/>
      <c r="B430" s="56"/>
      <c r="C430" s="16" t="s">
        <v>69</v>
      </c>
      <c r="D430" s="16" t="s">
        <v>54</v>
      </c>
      <c r="E430" s="57" t="s">
        <v>46</v>
      </c>
      <c r="F430" s="33"/>
      <c r="G430" s="126" t="s">
        <v>204</v>
      </c>
      <c r="H430" s="166">
        <f>H431+H438+H445+H454+H471</f>
        <v>581504.69999999995</v>
      </c>
      <c r="I430" s="166">
        <f t="shared" ref="I430:J430" si="161">I431+I438+I445+I454+I471</f>
        <v>574988.29999999993</v>
      </c>
      <c r="J430" s="166">
        <f t="shared" si="161"/>
        <v>576158.60000000009</v>
      </c>
    </row>
    <row r="431" spans="1:10" s="35" customFormat="1" ht="43.5" customHeight="1" x14ac:dyDescent="0.2">
      <c r="A431" s="25"/>
      <c r="B431" s="56"/>
      <c r="C431" s="49" t="s">
        <v>69</v>
      </c>
      <c r="D431" s="72" t="s">
        <v>54</v>
      </c>
      <c r="E431" s="50" t="s">
        <v>260</v>
      </c>
      <c r="F431" s="19"/>
      <c r="G431" s="51" t="s">
        <v>265</v>
      </c>
      <c r="H431" s="88">
        <f>H432+H434+H436</f>
        <v>33730.699999999997</v>
      </c>
      <c r="I431" s="88">
        <f t="shared" ref="I431:J431" si="162">I432+I434+I436</f>
        <v>33788.199999999997</v>
      </c>
      <c r="J431" s="88">
        <f t="shared" si="162"/>
        <v>33819.699999999997</v>
      </c>
    </row>
    <row r="432" spans="1:10" s="35" customFormat="1" ht="76.5" x14ac:dyDescent="0.2">
      <c r="A432" s="25"/>
      <c r="B432" s="56"/>
      <c r="C432" s="49" t="s">
        <v>69</v>
      </c>
      <c r="D432" s="72" t="s">
        <v>54</v>
      </c>
      <c r="E432" s="1" t="s">
        <v>263</v>
      </c>
      <c r="F432" s="19"/>
      <c r="G432" s="75" t="s">
        <v>262</v>
      </c>
      <c r="H432" s="113">
        <f>H433</f>
        <v>937.4</v>
      </c>
      <c r="I432" s="113">
        <f t="shared" ref="I432:J432" si="163">I433</f>
        <v>937.4</v>
      </c>
      <c r="J432" s="113">
        <f t="shared" si="163"/>
        <v>937.4</v>
      </c>
    </row>
    <row r="433" spans="1:10" s="35" customFormat="1" ht="14.25" x14ac:dyDescent="0.2">
      <c r="A433" s="25"/>
      <c r="B433" s="56"/>
      <c r="C433" s="16" t="s">
        <v>69</v>
      </c>
      <c r="D433" s="16" t="s">
        <v>54</v>
      </c>
      <c r="E433" s="1" t="s">
        <v>263</v>
      </c>
      <c r="F433" s="19" t="s">
        <v>122</v>
      </c>
      <c r="G433" s="75" t="s">
        <v>121</v>
      </c>
      <c r="H433" s="113">
        <v>937.4</v>
      </c>
      <c r="I433" s="113">
        <v>937.4</v>
      </c>
      <c r="J433" s="113">
        <v>937.4</v>
      </c>
    </row>
    <row r="434" spans="1:10" s="35" customFormat="1" ht="63.75" x14ac:dyDescent="0.2">
      <c r="A434" s="25"/>
      <c r="B434" s="56"/>
      <c r="C434" s="49" t="s">
        <v>69</v>
      </c>
      <c r="D434" s="72" t="s">
        <v>54</v>
      </c>
      <c r="E434" s="1" t="s">
        <v>264</v>
      </c>
      <c r="F434" s="19"/>
      <c r="G434" s="75" t="s">
        <v>188</v>
      </c>
      <c r="H434" s="113">
        <f>H435</f>
        <v>2482.6999999999998</v>
      </c>
      <c r="I434" s="113">
        <f t="shared" ref="I434:J434" si="164">I435</f>
        <v>2540.1999999999998</v>
      </c>
      <c r="J434" s="113">
        <f t="shared" si="164"/>
        <v>2571.6999999999998</v>
      </c>
    </row>
    <row r="435" spans="1:10" s="35" customFormat="1" ht="14.25" x14ac:dyDescent="0.2">
      <c r="A435" s="25"/>
      <c r="B435" s="56"/>
      <c r="C435" s="16" t="s">
        <v>69</v>
      </c>
      <c r="D435" s="16" t="s">
        <v>54</v>
      </c>
      <c r="E435" s="1" t="s">
        <v>264</v>
      </c>
      <c r="F435" s="19" t="s">
        <v>122</v>
      </c>
      <c r="G435" s="75" t="s">
        <v>121</v>
      </c>
      <c r="H435" s="113">
        <v>2482.6999999999998</v>
      </c>
      <c r="I435" s="113">
        <v>2540.1999999999998</v>
      </c>
      <c r="J435" s="113">
        <v>2571.6999999999998</v>
      </c>
    </row>
    <row r="436" spans="1:10" s="35" customFormat="1" ht="63.75" x14ac:dyDescent="0.2">
      <c r="A436" s="25"/>
      <c r="B436" s="56"/>
      <c r="C436" s="49" t="s">
        <v>69</v>
      </c>
      <c r="D436" s="72" t="s">
        <v>54</v>
      </c>
      <c r="E436" s="50" t="s">
        <v>261</v>
      </c>
      <c r="F436" s="19"/>
      <c r="G436" s="75" t="s">
        <v>162</v>
      </c>
      <c r="H436" s="162">
        <f>H437</f>
        <v>30310.6</v>
      </c>
      <c r="I436" s="162">
        <f>I437</f>
        <v>30310.6</v>
      </c>
      <c r="J436" s="162">
        <f>J437</f>
        <v>30310.6</v>
      </c>
    </row>
    <row r="437" spans="1:10" s="35" customFormat="1" ht="14.25" x14ac:dyDescent="0.2">
      <c r="A437" s="25"/>
      <c r="B437" s="56"/>
      <c r="C437" s="16" t="s">
        <v>69</v>
      </c>
      <c r="D437" s="16" t="s">
        <v>54</v>
      </c>
      <c r="E437" s="50" t="s">
        <v>261</v>
      </c>
      <c r="F437" s="19" t="s">
        <v>122</v>
      </c>
      <c r="G437" s="75" t="s">
        <v>121</v>
      </c>
      <c r="H437" s="113">
        <v>30310.6</v>
      </c>
      <c r="I437" s="113">
        <v>30310.6</v>
      </c>
      <c r="J437" s="113">
        <v>30310.6</v>
      </c>
    </row>
    <row r="438" spans="1:10" s="35" customFormat="1" ht="49.5" customHeight="1" x14ac:dyDescent="0.2">
      <c r="A438" s="25"/>
      <c r="B438" s="56"/>
      <c r="C438" s="16" t="s">
        <v>69</v>
      </c>
      <c r="D438" s="16" t="s">
        <v>54</v>
      </c>
      <c r="E438" s="19" t="s">
        <v>134</v>
      </c>
      <c r="F438" s="33"/>
      <c r="G438" s="129" t="s">
        <v>252</v>
      </c>
      <c r="H438" s="163">
        <f>H439+H441+H443</f>
        <v>54571.3</v>
      </c>
      <c r="I438" s="163">
        <f t="shared" ref="I438:J438" si="165">I439+I441+I443</f>
        <v>53944.100000000006</v>
      </c>
      <c r="J438" s="163">
        <f t="shared" si="165"/>
        <v>53088.3</v>
      </c>
    </row>
    <row r="439" spans="1:10" s="35" customFormat="1" ht="79.5" customHeight="1" x14ac:dyDescent="0.2">
      <c r="A439" s="25"/>
      <c r="B439" s="56"/>
      <c r="C439" s="16" t="s">
        <v>69</v>
      </c>
      <c r="D439" s="16" t="s">
        <v>54</v>
      </c>
      <c r="E439" s="19" t="s">
        <v>254</v>
      </c>
      <c r="F439" s="33"/>
      <c r="G439" s="128" t="s">
        <v>253</v>
      </c>
      <c r="H439" s="162">
        <f>H440</f>
        <v>35224.800000000003</v>
      </c>
      <c r="I439" s="162">
        <f t="shared" ref="I439:J439" si="166">I440</f>
        <v>35224.800000000003</v>
      </c>
      <c r="J439" s="162">
        <f t="shared" si="166"/>
        <v>35224.800000000003</v>
      </c>
    </row>
    <row r="440" spans="1:10" s="35" customFormat="1" ht="14.25" x14ac:dyDescent="0.2">
      <c r="A440" s="25"/>
      <c r="B440" s="56"/>
      <c r="C440" s="16" t="s">
        <v>69</v>
      </c>
      <c r="D440" s="16" t="s">
        <v>54</v>
      </c>
      <c r="E440" s="19" t="s">
        <v>254</v>
      </c>
      <c r="F440" s="19" t="s">
        <v>122</v>
      </c>
      <c r="G440" s="75" t="s">
        <v>121</v>
      </c>
      <c r="H440" s="162">
        <v>35224.800000000003</v>
      </c>
      <c r="I440" s="162">
        <v>35224.800000000003</v>
      </c>
      <c r="J440" s="162">
        <v>35224.800000000003</v>
      </c>
    </row>
    <row r="441" spans="1:10" s="35" customFormat="1" ht="89.25" x14ac:dyDescent="0.2">
      <c r="A441" s="25"/>
      <c r="B441" s="56"/>
      <c r="C441" s="16" t="s">
        <v>69</v>
      </c>
      <c r="D441" s="16" t="s">
        <v>54</v>
      </c>
      <c r="E441" s="19" t="s">
        <v>564</v>
      </c>
      <c r="F441" s="19"/>
      <c r="G441" s="128" t="s">
        <v>565</v>
      </c>
      <c r="H441" s="162">
        <f>H442</f>
        <v>158.19999999999999</v>
      </c>
      <c r="I441" s="162">
        <f t="shared" ref="I441:J441" si="167">I442</f>
        <v>0</v>
      </c>
      <c r="J441" s="162">
        <f t="shared" si="167"/>
        <v>0</v>
      </c>
    </row>
    <row r="442" spans="1:10" s="35" customFormat="1" ht="14.25" x14ac:dyDescent="0.2">
      <c r="A442" s="25"/>
      <c r="B442" s="56"/>
      <c r="C442" s="16" t="s">
        <v>69</v>
      </c>
      <c r="D442" s="16" t="s">
        <v>54</v>
      </c>
      <c r="E442" s="19" t="s">
        <v>564</v>
      </c>
      <c r="F442" s="19" t="s">
        <v>122</v>
      </c>
      <c r="G442" s="75" t="s">
        <v>121</v>
      </c>
      <c r="H442" s="162">
        <v>158.19999999999999</v>
      </c>
      <c r="I442" s="162">
        <v>0</v>
      </c>
      <c r="J442" s="162">
        <v>0</v>
      </c>
    </row>
    <row r="443" spans="1:10" s="35" customFormat="1" ht="63.75" x14ac:dyDescent="0.2">
      <c r="A443" s="25"/>
      <c r="B443" s="56"/>
      <c r="C443" s="16" t="s">
        <v>69</v>
      </c>
      <c r="D443" s="16" t="s">
        <v>54</v>
      </c>
      <c r="E443" s="19" t="s">
        <v>256</v>
      </c>
      <c r="F443" s="33"/>
      <c r="G443" s="48" t="s">
        <v>156</v>
      </c>
      <c r="H443" s="162">
        <f>H444</f>
        <v>19188.300000000003</v>
      </c>
      <c r="I443" s="162">
        <f t="shared" ref="I443:J443" si="168">I444</f>
        <v>18719.300000000003</v>
      </c>
      <c r="J443" s="162">
        <f t="shared" si="168"/>
        <v>17863.5</v>
      </c>
    </row>
    <row r="444" spans="1:10" s="35" customFormat="1" ht="14.25" x14ac:dyDescent="0.2">
      <c r="A444" s="25"/>
      <c r="B444" s="56"/>
      <c r="C444" s="16" t="s">
        <v>69</v>
      </c>
      <c r="D444" s="16" t="s">
        <v>54</v>
      </c>
      <c r="E444" s="19" t="s">
        <v>256</v>
      </c>
      <c r="F444" s="19" t="s">
        <v>122</v>
      </c>
      <c r="G444" s="75" t="s">
        <v>121</v>
      </c>
      <c r="H444" s="162">
        <f>19188.4-0.1</f>
        <v>19188.300000000003</v>
      </c>
      <c r="I444" s="162">
        <f>18719.4-0.1</f>
        <v>18719.300000000003</v>
      </c>
      <c r="J444" s="162">
        <f>17863.6-0.1</f>
        <v>17863.5</v>
      </c>
    </row>
    <row r="445" spans="1:10" s="35" customFormat="1" ht="89.25" x14ac:dyDescent="0.2">
      <c r="A445" s="25"/>
      <c r="B445" s="56"/>
      <c r="C445" s="16" t="s">
        <v>69</v>
      </c>
      <c r="D445" s="16" t="s">
        <v>54</v>
      </c>
      <c r="E445" s="19" t="s">
        <v>525</v>
      </c>
      <c r="F445" s="19"/>
      <c r="G445" s="51" t="s">
        <v>297</v>
      </c>
      <c r="H445" s="161">
        <f>H446+H448+H450+H452</f>
        <v>767.5</v>
      </c>
      <c r="I445" s="161">
        <f t="shared" ref="I445:J445" si="169">I446</f>
        <v>430</v>
      </c>
      <c r="J445" s="161">
        <f t="shared" si="169"/>
        <v>430</v>
      </c>
    </row>
    <row r="446" spans="1:10" s="35" customFormat="1" ht="43.5" customHeight="1" x14ac:dyDescent="0.2">
      <c r="A446" s="25"/>
      <c r="B446" s="56"/>
      <c r="C446" s="16" t="s">
        <v>69</v>
      </c>
      <c r="D446" s="16" t="s">
        <v>54</v>
      </c>
      <c r="E446" s="19" t="s">
        <v>298</v>
      </c>
      <c r="F446" s="19"/>
      <c r="G446" s="75" t="s">
        <v>259</v>
      </c>
      <c r="H446" s="162">
        <f>H447</f>
        <v>73.799999999999983</v>
      </c>
      <c r="I446" s="162">
        <f t="shared" ref="I446:J446" si="170">I447</f>
        <v>430</v>
      </c>
      <c r="J446" s="162">
        <f t="shared" si="170"/>
        <v>430</v>
      </c>
    </row>
    <row r="447" spans="1:10" s="35" customFormat="1" ht="14.25" x14ac:dyDescent="0.2">
      <c r="A447" s="25"/>
      <c r="B447" s="56"/>
      <c r="C447" s="16" t="s">
        <v>69</v>
      </c>
      <c r="D447" s="16" t="s">
        <v>54</v>
      </c>
      <c r="E447" s="19" t="s">
        <v>298</v>
      </c>
      <c r="F447" s="19" t="s">
        <v>122</v>
      </c>
      <c r="G447" s="75" t="s">
        <v>121</v>
      </c>
      <c r="H447" s="162">
        <f>430-356.1-0.1</f>
        <v>73.799999999999983</v>
      </c>
      <c r="I447" s="162">
        <v>430</v>
      </c>
      <c r="J447" s="162">
        <v>430</v>
      </c>
    </row>
    <row r="448" spans="1:10" s="35" customFormat="1" ht="22.5" customHeight="1" x14ac:dyDescent="0.2">
      <c r="A448" s="25"/>
      <c r="B448" s="56"/>
      <c r="C448" s="49" t="s">
        <v>69</v>
      </c>
      <c r="D448" s="72" t="s">
        <v>54</v>
      </c>
      <c r="E448" s="19" t="s">
        <v>536</v>
      </c>
      <c r="F448" s="19"/>
      <c r="G448" s="75" t="s">
        <v>538</v>
      </c>
      <c r="H448" s="162">
        <f>H449</f>
        <v>269</v>
      </c>
      <c r="I448" s="162">
        <f>I449</f>
        <v>0</v>
      </c>
      <c r="J448" s="162">
        <f>J449</f>
        <v>0</v>
      </c>
    </row>
    <row r="449" spans="1:10" s="35" customFormat="1" ht="14.25" x14ac:dyDescent="0.2">
      <c r="A449" s="25"/>
      <c r="B449" s="56"/>
      <c r="C449" s="49" t="s">
        <v>69</v>
      </c>
      <c r="D449" s="72" t="s">
        <v>54</v>
      </c>
      <c r="E449" s="19" t="s">
        <v>536</v>
      </c>
      <c r="F449" s="19" t="s">
        <v>122</v>
      </c>
      <c r="G449" s="75" t="s">
        <v>121</v>
      </c>
      <c r="H449" s="162">
        <f>138.1+269-138.1</f>
        <v>269</v>
      </c>
      <c r="I449" s="162">
        <v>0</v>
      </c>
      <c r="J449" s="162">
        <v>0</v>
      </c>
    </row>
    <row r="450" spans="1:10" s="35" customFormat="1" ht="38.25" customHeight="1" x14ac:dyDescent="0.2">
      <c r="A450" s="25"/>
      <c r="B450" s="56"/>
      <c r="C450" s="16" t="s">
        <v>69</v>
      </c>
      <c r="D450" s="16" t="s">
        <v>54</v>
      </c>
      <c r="E450" s="19" t="s">
        <v>539</v>
      </c>
      <c r="F450" s="19"/>
      <c r="G450" s="75" t="s">
        <v>537</v>
      </c>
      <c r="H450" s="162">
        <f>H451</f>
        <v>365.1</v>
      </c>
      <c r="I450" s="162">
        <f t="shared" ref="I450:J450" si="171">I451</f>
        <v>0</v>
      </c>
      <c r="J450" s="162">
        <f t="shared" si="171"/>
        <v>0</v>
      </c>
    </row>
    <row r="451" spans="1:10" s="35" customFormat="1" ht="14.25" x14ac:dyDescent="0.2">
      <c r="A451" s="25"/>
      <c r="B451" s="56"/>
      <c r="C451" s="49" t="s">
        <v>69</v>
      </c>
      <c r="D451" s="72" t="s">
        <v>54</v>
      </c>
      <c r="E451" s="19" t="s">
        <v>539</v>
      </c>
      <c r="F451" s="19" t="s">
        <v>122</v>
      </c>
      <c r="G451" s="75" t="s">
        <v>121</v>
      </c>
      <c r="H451" s="162">
        <f>187.4+0.1+365.1-187.5</f>
        <v>365.1</v>
      </c>
      <c r="I451" s="162">
        <v>0</v>
      </c>
      <c r="J451" s="162">
        <v>0</v>
      </c>
    </row>
    <row r="452" spans="1:10" s="35" customFormat="1" ht="42" customHeight="1" x14ac:dyDescent="0.2">
      <c r="A452" s="25"/>
      <c r="B452" s="56"/>
      <c r="C452" s="16" t="s">
        <v>69</v>
      </c>
      <c r="D452" s="16" t="s">
        <v>54</v>
      </c>
      <c r="E452" s="19" t="s">
        <v>540</v>
      </c>
      <c r="F452" s="19"/>
      <c r="G452" s="75" t="s">
        <v>541</v>
      </c>
      <c r="H452" s="162">
        <f>H453</f>
        <v>59.599999999999994</v>
      </c>
      <c r="I452" s="162">
        <f t="shared" ref="I452:J452" si="172">I453</f>
        <v>0</v>
      </c>
      <c r="J452" s="162">
        <f t="shared" si="172"/>
        <v>0</v>
      </c>
    </row>
    <row r="453" spans="1:10" s="35" customFormat="1" ht="14.25" x14ac:dyDescent="0.2">
      <c r="A453" s="25"/>
      <c r="B453" s="56"/>
      <c r="C453" s="16" t="s">
        <v>69</v>
      </c>
      <c r="D453" s="16" t="s">
        <v>54</v>
      </c>
      <c r="E453" s="19" t="s">
        <v>540</v>
      </c>
      <c r="F453" s="19" t="s">
        <v>122</v>
      </c>
      <c r="G453" s="75" t="s">
        <v>121</v>
      </c>
      <c r="H453" s="162">
        <f>30.6+59.5-30.5</f>
        <v>59.599999999999994</v>
      </c>
      <c r="I453" s="162">
        <v>0</v>
      </c>
      <c r="J453" s="162">
        <v>0</v>
      </c>
    </row>
    <row r="454" spans="1:10" s="35" customFormat="1" ht="52.5" customHeight="1" x14ac:dyDescent="0.2">
      <c r="A454" s="25"/>
      <c r="B454" s="56"/>
      <c r="C454" s="41" t="s">
        <v>69</v>
      </c>
      <c r="D454" s="41" t="s">
        <v>54</v>
      </c>
      <c r="E454" s="46" t="s">
        <v>246</v>
      </c>
      <c r="F454" s="19"/>
      <c r="G454" s="130" t="s">
        <v>245</v>
      </c>
      <c r="H454" s="162">
        <f>H455+H457+H459+H461+H463+H465+H467+H469</f>
        <v>492235.2</v>
      </c>
      <c r="I454" s="162">
        <f t="shared" ref="I454:J454" si="173">I455+I457+I459+I461+I463+I465+I467+I469</f>
        <v>486625.99999999994</v>
      </c>
      <c r="J454" s="162">
        <f t="shared" si="173"/>
        <v>488620.60000000003</v>
      </c>
    </row>
    <row r="455" spans="1:10" s="35" customFormat="1" ht="76.5" x14ac:dyDescent="0.2">
      <c r="A455" s="25"/>
      <c r="B455" s="56"/>
      <c r="C455" s="49" t="s">
        <v>69</v>
      </c>
      <c r="D455" s="72" t="s">
        <v>54</v>
      </c>
      <c r="E455" s="65" t="s">
        <v>247</v>
      </c>
      <c r="F455" s="65"/>
      <c r="G455" s="75" t="s">
        <v>161</v>
      </c>
      <c r="H455" s="162">
        <f>H456</f>
        <v>349235.4</v>
      </c>
      <c r="I455" s="162">
        <f>I456</f>
        <v>351183.6</v>
      </c>
      <c r="J455" s="162">
        <f>J456</f>
        <v>353178.2</v>
      </c>
    </row>
    <row r="456" spans="1:10" s="35" customFormat="1" ht="14.25" x14ac:dyDescent="0.2">
      <c r="A456" s="25"/>
      <c r="B456" s="56"/>
      <c r="C456" s="49" t="s">
        <v>69</v>
      </c>
      <c r="D456" s="72" t="s">
        <v>54</v>
      </c>
      <c r="E456" s="50" t="s">
        <v>247</v>
      </c>
      <c r="F456" s="19" t="s">
        <v>122</v>
      </c>
      <c r="G456" s="75" t="s">
        <v>121</v>
      </c>
      <c r="H456" s="113">
        <v>349235.4</v>
      </c>
      <c r="I456" s="113">
        <v>351183.6</v>
      </c>
      <c r="J456" s="113">
        <v>353178.2</v>
      </c>
    </row>
    <row r="457" spans="1:10" s="35" customFormat="1" ht="63.75" x14ac:dyDescent="0.2">
      <c r="A457" s="25"/>
      <c r="B457" s="56"/>
      <c r="C457" s="16" t="s">
        <v>69</v>
      </c>
      <c r="D457" s="16" t="s">
        <v>54</v>
      </c>
      <c r="E457" s="50" t="s">
        <v>248</v>
      </c>
      <c r="F457" s="19"/>
      <c r="G457" s="75" t="s">
        <v>133</v>
      </c>
      <c r="H457" s="162">
        <f>H458</f>
        <v>128398.50000000001</v>
      </c>
      <c r="I457" s="162">
        <f>I458</f>
        <v>124052.6</v>
      </c>
      <c r="J457" s="162">
        <f>J458</f>
        <v>124052.6</v>
      </c>
    </row>
    <row r="458" spans="1:10" s="35" customFormat="1" ht="14.25" x14ac:dyDescent="0.2">
      <c r="A458" s="25"/>
      <c r="B458" s="56"/>
      <c r="C458" s="49" t="s">
        <v>69</v>
      </c>
      <c r="D458" s="72" t="s">
        <v>54</v>
      </c>
      <c r="E458" s="50" t="s">
        <v>248</v>
      </c>
      <c r="F458" s="19" t="s">
        <v>122</v>
      </c>
      <c r="G458" s="75" t="s">
        <v>121</v>
      </c>
      <c r="H458" s="162">
        <f>124052.6+423.3+3816.8+105.8</f>
        <v>128398.50000000001</v>
      </c>
      <c r="I458" s="162">
        <v>124052.6</v>
      </c>
      <c r="J458" s="162">
        <v>124052.6</v>
      </c>
    </row>
    <row r="459" spans="1:10" ht="51" x14ac:dyDescent="0.2">
      <c r="A459" s="25"/>
      <c r="B459" s="56"/>
      <c r="C459" s="16" t="s">
        <v>69</v>
      </c>
      <c r="D459" s="16" t="s">
        <v>54</v>
      </c>
      <c r="E459" s="50" t="s">
        <v>249</v>
      </c>
      <c r="F459" s="19"/>
      <c r="G459" s="75" t="s">
        <v>164</v>
      </c>
      <c r="H459" s="162">
        <f>H460</f>
        <v>1831.9</v>
      </c>
      <c r="I459" s="162">
        <f>I460</f>
        <v>200</v>
      </c>
      <c r="J459" s="162">
        <f>J460</f>
        <v>200</v>
      </c>
    </row>
    <row r="460" spans="1:10" s="35" customFormat="1" ht="14.25" x14ac:dyDescent="0.2">
      <c r="A460" s="25"/>
      <c r="B460" s="56"/>
      <c r="C460" s="16" t="s">
        <v>69</v>
      </c>
      <c r="D460" s="16" t="s">
        <v>54</v>
      </c>
      <c r="E460" s="50" t="s">
        <v>249</v>
      </c>
      <c r="F460" s="19" t="s">
        <v>122</v>
      </c>
      <c r="G460" s="75" t="s">
        <v>121</v>
      </c>
      <c r="H460" s="162">
        <f>976.5+140+715.4</f>
        <v>1831.9</v>
      </c>
      <c r="I460" s="162">
        <v>200</v>
      </c>
      <c r="J460" s="162">
        <v>200</v>
      </c>
    </row>
    <row r="461" spans="1:10" s="35" customFormat="1" ht="38.25" x14ac:dyDescent="0.2">
      <c r="A461" s="25"/>
      <c r="B461" s="56"/>
      <c r="C461" s="16" t="s">
        <v>69</v>
      </c>
      <c r="D461" s="16" t="s">
        <v>54</v>
      </c>
      <c r="E461" s="50" t="s">
        <v>250</v>
      </c>
      <c r="F461" s="50"/>
      <c r="G461" s="92" t="s">
        <v>251</v>
      </c>
      <c r="H461" s="162">
        <f>H462</f>
        <v>877.7</v>
      </c>
      <c r="I461" s="162">
        <f>I462</f>
        <v>200</v>
      </c>
      <c r="J461" s="162">
        <f>J462</f>
        <v>200</v>
      </c>
    </row>
    <row r="462" spans="1:10" s="35" customFormat="1" ht="14.25" x14ac:dyDescent="0.2">
      <c r="A462" s="25"/>
      <c r="B462" s="56"/>
      <c r="C462" s="16" t="s">
        <v>69</v>
      </c>
      <c r="D462" s="16" t="s">
        <v>54</v>
      </c>
      <c r="E462" s="50" t="s">
        <v>250</v>
      </c>
      <c r="F462" s="19" t="s">
        <v>122</v>
      </c>
      <c r="G462" s="75" t="s">
        <v>121</v>
      </c>
      <c r="H462" s="162">
        <v>877.7</v>
      </c>
      <c r="I462" s="162">
        <v>200</v>
      </c>
      <c r="J462" s="162">
        <v>200</v>
      </c>
    </row>
    <row r="463" spans="1:10" s="35" customFormat="1" ht="51" customHeight="1" x14ac:dyDescent="0.2">
      <c r="A463" s="25"/>
      <c r="B463" s="56"/>
      <c r="C463" s="16" t="s">
        <v>69</v>
      </c>
      <c r="D463" s="16" t="s">
        <v>54</v>
      </c>
      <c r="E463" s="50" t="s">
        <v>562</v>
      </c>
      <c r="F463" s="19"/>
      <c r="G463" s="75" t="s">
        <v>563</v>
      </c>
      <c r="H463" s="162">
        <f>H464</f>
        <v>1560</v>
      </c>
      <c r="I463" s="162">
        <f t="shared" ref="I463:J463" si="174">I464</f>
        <v>0</v>
      </c>
      <c r="J463" s="162">
        <f t="shared" si="174"/>
        <v>0</v>
      </c>
    </row>
    <row r="464" spans="1:10" s="35" customFormat="1" ht="14.25" x14ac:dyDescent="0.2">
      <c r="A464" s="25"/>
      <c r="B464" s="56"/>
      <c r="C464" s="16" t="s">
        <v>69</v>
      </c>
      <c r="D464" s="16" t="s">
        <v>54</v>
      </c>
      <c r="E464" s="50" t="s">
        <v>562</v>
      </c>
      <c r="F464" s="19" t="s">
        <v>122</v>
      </c>
      <c r="G464" s="75" t="s">
        <v>121</v>
      </c>
      <c r="H464" s="162">
        <f>603.9+356.1+600</f>
        <v>1560</v>
      </c>
      <c r="I464" s="162">
        <v>0</v>
      </c>
      <c r="J464" s="162">
        <v>0</v>
      </c>
    </row>
    <row r="465" spans="1:10" s="35" customFormat="1" ht="72" customHeight="1" x14ac:dyDescent="0.2">
      <c r="A465" s="25"/>
      <c r="B465" s="56"/>
      <c r="C465" s="16" t="s">
        <v>69</v>
      </c>
      <c r="D465" s="16" t="s">
        <v>54</v>
      </c>
      <c r="E465" s="19" t="s">
        <v>255</v>
      </c>
      <c r="F465" s="19"/>
      <c r="G465" s="75" t="s">
        <v>183</v>
      </c>
      <c r="H465" s="162">
        <f>H466</f>
        <v>315</v>
      </c>
      <c r="I465" s="162">
        <f>I466</f>
        <v>180</v>
      </c>
      <c r="J465" s="162">
        <f>J466</f>
        <v>180</v>
      </c>
    </row>
    <row r="466" spans="1:10" s="35" customFormat="1" ht="14.25" x14ac:dyDescent="0.2">
      <c r="A466" s="25"/>
      <c r="B466" s="56"/>
      <c r="C466" s="16" t="s">
        <v>69</v>
      </c>
      <c r="D466" s="16" t="s">
        <v>54</v>
      </c>
      <c r="E466" s="19" t="s">
        <v>255</v>
      </c>
      <c r="F466" s="19" t="s">
        <v>122</v>
      </c>
      <c r="G466" s="75" t="s">
        <v>121</v>
      </c>
      <c r="H466" s="82">
        <v>315</v>
      </c>
      <c r="I466" s="82">
        <v>180</v>
      </c>
      <c r="J466" s="82">
        <v>180</v>
      </c>
    </row>
    <row r="467" spans="1:10" s="35" customFormat="1" ht="63.75" x14ac:dyDescent="0.2">
      <c r="A467" s="25"/>
      <c r="B467" s="56"/>
      <c r="C467" s="16" t="s">
        <v>69</v>
      </c>
      <c r="D467" s="16" t="s">
        <v>54</v>
      </c>
      <c r="E467" s="19" t="s">
        <v>257</v>
      </c>
      <c r="F467" s="19"/>
      <c r="G467" s="75" t="s">
        <v>179</v>
      </c>
      <c r="H467" s="82">
        <f>H468</f>
        <v>7405.1</v>
      </c>
      <c r="I467" s="82">
        <f t="shared" ref="I467:J469" si="175">I468</f>
        <v>8198.2000000000007</v>
      </c>
      <c r="J467" s="82">
        <f t="shared" si="175"/>
        <v>8198.2000000000007</v>
      </c>
    </row>
    <row r="468" spans="1:10" s="35" customFormat="1" ht="14.25" x14ac:dyDescent="0.2">
      <c r="A468" s="25"/>
      <c r="B468" s="56"/>
      <c r="C468" s="16" t="s">
        <v>69</v>
      </c>
      <c r="D468" s="16" t="s">
        <v>54</v>
      </c>
      <c r="E468" s="19" t="s">
        <v>257</v>
      </c>
      <c r="F468" s="19" t="s">
        <v>122</v>
      </c>
      <c r="G468" s="75" t="s">
        <v>121</v>
      </c>
      <c r="H468" s="82">
        <f>8198.2-793.1</f>
        <v>7405.1</v>
      </c>
      <c r="I468" s="82">
        <v>8198.2000000000007</v>
      </c>
      <c r="J468" s="82">
        <v>8198.2000000000007</v>
      </c>
    </row>
    <row r="469" spans="1:10" s="35" customFormat="1" ht="76.5" x14ac:dyDescent="0.2">
      <c r="A469" s="25"/>
      <c r="B469" s="56"/>
      <c r="C469" s="16" t="s">
        <v>69</v>
      </c>
      <c r="D469" s="16" t="s">
        <v>54</v>
      </c>
      <c r="E469" s="19" t="s">
        <v>258</v>
      </c>
      <c r="F469" s="19"/>
      <c r="G469" s="75" t="s">
        <v>195</v>
      </c>
      <c r="H469" s="82">
        <f>H470</f>
        <v>2611.6</v>
      </c>
      <c r="I469" s="82">
        <f t="shared" si="175"/>
        <v>2611.6</v>
      </c>
      <c r="J469" s="82">
        <f t="shared" si="175"/>
        <v>2611.6</v>
      </c>
    </row>
    <row r="470" spans="1:10" s="35" customFormat="1" ht="14.25" x14ac:dyDescent="0.2">
      <c r="A470" s="25"/>
      <c r="B470" s="56"/>
      <c r="C470" s="16" t="s">
        <v>69</v>
      </c>
      <c r="D470" s="16" t="s">
        <v>54</v>
      </c>
      <c r="E470" s="19" t="s">
        <v>258</v>
      </c>
      <c r="F470" s="19" t="s">
        <v>122</v>
      </c>
      <c r="G470" s="75" t="s">
        <v>121</v>
      </c>
      <c r="H470" s="82">
        <v>2611.6</v>
      </c>
      <c r="I470" s="82">
        <v>2611.6</v>
      </c>
      <c r="J470" s="82">
        <v>2611.6</v>
      </c>
    </row>
    <row r="471" spans="1:10" s="35" customFormat="1" ht="38.25" x14ac:dyDescent="0.2">
      <c r="A471" s="25"/>
      <c r="B471" s="56"/>
      <c r="C471" s="16" t="s">
        <v>69</v>
      </c>
      <c r="D471" s="16" t="s">
        <v>54</v>
      </c>
      <c r="E471" s="46" t="s">
        <v>279</v>
      </c>
      <c r="F471" s="65"/>
      <c r="G471" s="130" t="s">
        <v>281</v>
      </c>
      <c r="H471" s="88">
        <f>H472</f>
        <v>200</v>
      </c>
      <c r="I471" s="88">
        <f t="shared" ref="I471:J471" si="176">I472</f>
        <v>200</v>
      </c>
      <c r="J471" s="88">
        <f t="shared" si="176"/>
        <v>200</v>
      </c>
    </row>
    <row r="472" spans="1:10" s="35" customFormat="1" ht="29.25" customHeight="1" x14ac:dyDescent="0.2">
      <c r="A472" s="25"/>
      <c r="B472" s="56"/>
      <c r="C472" s="16" t="s">
        <v>69</v>
      </c>
      <c r="D472" s="16" t="s">
        <v>54</v>
      </c>
      <c r="E472" s="19" t="s">
        <v>322</v>
      </c>
      <c r="F472" s="19"/>
      <c r="G472" s="75" t="s">
        <v>323</v>
      </c>
      <c r="H472" s="82">
        <f>H473</f>
        <v>200</v>
      </c>
      <c r="I472" s="82">
        <f t="shared" ref="I472:J472" si="177">I473</f>
        <v>200</v>
      </c>
      <c r="J472" s="82">
        <f t="shared" si="177"/>
        <v>200</v>
      </c>
    </row>
    <row r="473" spans="1:10" s="35" customFormat="1" ht="14.25" x14ac:dyDescent="0.2">
      <c r="A473" s="25"/>
      <c r="B473" s="56"/>
      <c r="C473" s="16" t="s">
        <v>69</v>
      </c>
      <c r="D473" s="16" t="s">
        <v>54</v>
      </c>
      <c r="E473" s="19" t="s">
        <v>322</v>
      </c>
      <c r="F473" s="19" t="s">
        <v>122</v>
      </c>
      <c r="G473" s="75" t="s">
        <v>121</v>
      </c>
      <c r="H473" s="82">
        <v>200</v>
      </c>
      <c r="I473" s="82">
        <v>200</v>
      </c>
      <c r="J473" s="82">
        <v>200</v>
      </c>
    </row>
    <row r="474" spans="1:10" s="35" customFormat="1" ht="38.25" x14ac:dyDescent="0.2">
      <c r="A474" s="25"/>
      <c r="B474" s="56"/>
      <c r="C474" s="16" t="s">
        <v>69</v>
      </c>
      <c r="D474" s="16" t="s">
        <v>54</v>
      </c>
      <c r="E474" s="65" t="s">
        <v>22</v>
      </c>
      <c r="F474" s="65"/>
      <c r="G474" s="76" t="s">
        <v>28</v>
      </c>
      <c r="H474" s="182">
        <f>H475</f>
        <v>835</v>
      </c>
      <c r="I474" s="182">
        <f t="shared" ref="I474:J474" si="178">I475</f>
        <v>0</v>
      </c>
      <c r="J474" s="182">
        <f t="shared" si="178"/>
        <v>0</v>
      </c>
    </row>
    <row r="475" spans="1:10" s="35" customFormat="1" ht="51" x14ac:dyDescent="0.2">
      <c r="A475" s="25"/>
      <c r="B475" s="56"/>
      <c r="C475" s="16" t="s">
        <v>69</v>
      </c>
      <c r="D475" s="16" t="s">
        <v>54</v>
      </c>
      <c r="E475" s="65" t="s">
        <v>599</v>
      </c>
      <c r="F475" s="16"/>
      <c r="G475" s="106" t="s">
        <v>607</v>
      </c>
      <c r="H475" s="182">
        <f>SUM(H476:H476)</f>
        <v>835</v>
      </c>
      <c r="I475" s="182">
        <f>SUM(I476:I476)</f>
        <v>0</v>
      </c>
      <c r="J475" s="182">
        <f>SUM(J476:J476)</f>
        <v>0</v>
      </c>
    </row>
    <row r="476" spans="1:10" s="35" customFormat="1" ht="14.25" x14ac:dyDescent="0.2">
      <c r="A476" s="25"/>
      <c r="B476" s="56"/>
      <c r="C476" s="16" t="s">
        <v>69</v>
      </c>
      <c r="D476" s="16" t="s">
        <v>54</v>
      </c>
      <c r="E476" s="65" t="s">
        <v>599</v>
      </c>
      <c r="F476" s="19" t="s">
        <v>122</v>
      </c>
      <c r="G476" s="75" t="s">
        <v>121</v>
      </c>
      <c r="H476" s="37">
        <v>835</v>
      </c>
      <c r="I476" s="37">
        <v>0</v>
      </c>
      <c r="J476" s="37">
        <v>0</v>
      </c>
    </row>
    <row r="477" spans="1:10" ht="14.25" x14ac:dyDescent="0.2">
      <c r="A477" s="25"/>
      <c r="B477" s="56"/>
      <c r="C477" s="33" t="s">
        <v>69</v>
      </c>
      <c r="D477" s="33" t="s">
        <v>58</v>
      </c>
      <c r="E477" s="33"/>
      <c r="F477" s="33"/>
      <c r="G477" s="40" t="s">
        <v>109</v>
      </c>
      <c r="H477" s="161">
        <f>H478+H508</f>
        <v>78300.300000000017</v>
      </c>
      <c r="I477" s="161">
        <f t="shared" ref="I477:J477" si="179">I478</f>
        <v>73563.7</v>
      </c>
      <c r="J477" s="161">
        <f t="shared" si="179"/>
        <v>73363.7</v>
      </c>
    </row>
    <row r="478" spans="1:10" ht="89.25" x14ac:dyDescent="0.2">
      <c r="A478" s="25"/>
      <c r="B478" s="56"/>
      <c r="C478" s="5" t="s">
        <v>69</v>
      </c>
      <c r="D478" s="5" t="s">
        <v>58</v>
      </c>
      <c r="E478" s="57" t="s">
        <v>46</v>
      </c>
      <c r="F478" s="19"/>
      <c r="G478" s="126" t="s">
        <v>204</v>
      </c>
      <c r="H478" s="164">
        <f>H479+H486+H489+H505</f>
        <v>77850.300000000017</v>
      </c>
      <c r="I478" s="164">
        <f>I479+I486+I489+I505</f>
        <v>73563.7</v>
      </c>
      <c r="J478" s="164">
        <f>J479+J486+J489+J505</f>
        <v>73363.7</v>
      </c>
    </row>
    <row r="479" spans="1:10" ht="88.5" customHeight="1" x14ac:dyDescent="0.2">
      <c r="A479" s="25"/>
      <c r="B479" s="56"/>
      <c r="C479" s="16" t="s">
        <v>69</v>
      </c>
      <c r="D479" s="65" t="s">
        <v>58</v>
      </c>
      <c r="E479" s="46" t="s">
        <v>163</v>
      </c>
      <c r="F479" s="33"/>
      <c r="G479" s="40" t="s">
        <v>266</v>
      </c>
      <c r="H479" s="162">
        <f>H480+H482+H484</f>
        <v>24290.6</v>
      </c>
      <c r="I479" s="162">
        <f t="shared" ref="I479:J479" si="180">I480+I482+I484</f>
        <v>23519.8</v>
      </c>
      <c r="J479" s="162">
        <f t="shared" si="180"/>
        <v>23519.8</v>
      </c>
    </row>
    <row r="480" spans="1:10" ht="42.6" customHeight="1" x14ac:dyDescent="0.2">
      <c r="A480" s="25"/>
      <c r="B480" s="56"/>
      <c r="C480" s="16" t="s">
        <v>69</v>
      </c>
      <c r="D480" s="65" t="s">
        <v>58</v>
      </c>
      <c r="E480" s="50" t="s">
        <v>268</v>
      </c>
      <c r="F480" s="33"/>
      <c r="G480" s="74" t="s">
        <v>267</v>
      </c>
      <c r="H480" s="162">
        <f>H481</f>
        <v>650</v>
      </c>
      <c r="I480" s="162">
        <f t="shared" ref="I480:J480" si="181">I481</f>
        <v>0</v>
      </c>
      <c r="J480" s="162">
        <f t="shared" si="181"/>
        <v>0</v>
      </c>
    </row>
    <row r="481" spans="1:10" ht="15.75" customHeight="1" x14ac:dyDescent="0.2">
      <c r="A481" s="25"/>
      <c r="B481" s="56"/>
      <c r="C481" s="16" t="s">
        <v>69</v>
      </c>
      <c r="D481" s="65" t="s">
        <v>58</v>
      </c>
      <c r="E481" s="50" t="s">
        <v>268</v>
      </c>
      <c r="F481" s="19" t="s">
        <v>122</v>
      </c>
      <c r="G481" s="75" t="s">
        <v>121</v>
      </c>
      <c r="H481" s="162">
        <v>650</v>
      </c>
      <c r="I481" s="162">
        <v>0</v>
      </c>
      <c r="J481" s="162">
        <v>0</v>
      </c>
    </row>
    <row r="482" spans="1:10" ht="51" customHeight="1" x14ac:dyDescent="0.2">
      <c r="A482" s="25"/>
      <c r="B482" s="56"/>
      <c r="C482" s="16" t="s">
        <v>69</v>
      </c>
      <c r="D482" s="65" t="s">
        <v>58</v>
      </c>
      <c r="E482" s="50" t="s">
        <v>566</v>
      </c>
      <c r="F482" s="33"/>
      <c r="G482" s="74" t="s">
        <v>567</v>
      </c>
      <c r="H482" s="162">
        <f>H483</f>
        <v>120.8</v>
      </c>
      <c r="I482" s="162">
        <f t="shared" ref="I482:J482" si="182">I483</f>
        <v>0</v>
      </c>
      <c r="J482" s="162">
        <f t="shared" si="182"/>
        <v>0</v>
      </c>
    </row>
    <row r="483" spans="1:10" ht="15.75" customHeight="1" x14ac:dyDescent="0.2">
      <c r="A483" s="25"/>
      <c r="B483" s="56"/>
      <c r="C483" s="16" t="s">
        <v>69</v>
      </c>
      <c r="D483" s="65" t="s">
        <v>58</v>
      </c>
      <c r="E483" s="50" t="s">
        <v>566</v>
      </c>
      <c r="F483" s="19" t="s">
        <v>122</v>
      </c>
      <c r="G483" s="75" t="s">
        <v>121</v>
      </c>
      <c r="H483" s="162">
        <v>120.8</v>
      </c>
      <c r="I483" s="162">
        <v>0</v>
      </c>
      <c r="J483" s="162">
        <v>0</v>
      </c>
    </row>
    <row r="484" spans="1:10" ht="63" customHeight="1" x14ac:dyDescent="0.2">
      <c r="A484" s="25"/>
      <c r="B484" s="56"/>
      <c r="C484" s="16" t="s">
        <v>69</v>
      </c>
      <c r="D484" s="65" t="s">
        <v>58</v>
      </c>
      <c r="E484" s="50" t="s">
        <v>270</v>
      </c>
      <c r="F484" s="19"/>
      <c r="G484" s="75" t="s">
        <v>269</v>
      </c>
      <c r="H484" s="162">
        <f>H485</f>
        <v>23519.8</v>
      </c>
      <c r="I484" s="162">
        <f>I485</f>
        <v>23519.8</v>
      </c>
      <c r="J484" s="162">
        <f>J485</f>
        <v>23519.8</v>
      </c>
    </row>
    <row r="485" spans="1:10" ht="15.75" customHeight="1" x14ac:dyDescent="0.2">
      <c r="A485" s="25"/>
      <c r="B485" s="56"/>
      <c r="C485" s="16" t="s">
        <v>69</v>
      </c>
      <c r="D485" s="65" t="s">
        <v>58</v>
      </c>
      <c r="E485" s="50" t="s">
        <v>270</v>
      </c>
      <c r="F485" s="19" t="s">
        <v>122</v>
      </c>
      <c r="G485" s="75" t="s">
        <v>121</v>
      </c>
      <c r="H485" s="167">
        <v>23519.8</v>
      </c>
      <c r="I485" s="167">
        <v>23519.8</v>
      </c>
      <c r="J485" s="167">
        <v>23519.8</v>
      </c>
    </row>
    <row r="486" spans="1:10" ht="78.75" customHeight="1" x14ac:dyDescent="0.2">
      <c r="A486" s="25"/>
      <c r="B486" s="56"/>
      <c r="C486" s="16" t="s">
        <v>69</v>
      </c>
      <c r="D486" s="65" t="s">
        <v>58</v>
      </c>
      <c r="E486" s="46" t="s">
        <v>547</v>
      </c>
      <c r="F486" s="19"/>
      <c r="G486" s="75" t="s">
        <v>548</v>
      </c>
      <c r="H486" s="167">
        <f>H487</f>
        <v>556</v>
      </c>
      <c r="I486" s="167">
        <f t="shared" ref="I486:J487" si="183">I487</f>
        <v>0</v>
      </c>
      <c r="J486" s="167">
        <f t="shared" si="183"/>
        <v>0</v>
      </c>
    </row>
    <row r="487" spans="1:10" ht="91.5" customHeight="1" x14ac:dyDescent="0.2">
      <c r="A487" s="25"/>
      <c r="B487" s="56"/>
      <c r="C487" s="16" t="s">
        <v>69</v>
      </c>
      <c r="D487" s="65" t="s">
        <v>58</v>
      </c>
      <c r="E487" s="50" t="s">
        <v>550</v>
      </c>
      <c r="F487" s="19"/>
      <c r="G487" s="75" t="s">
        <v>549</v>
      </c>
      <c r="H487" s="167">
        <f>H488</f>
        <v>556</v>
      </c>
      <c r="I487" s="167">
        <f t="shared" si="183"/>
        <v>0</v>
      </c>
      <c r="J487" s="167">
        <f t="shared" si="183"/>
        <v>0</v>
      </c>
    </row>
    <row r="488" spans="1:10" ht="15.75" customHeight="1" x14ac:dyDescent="0.2">
      <c r="A488" s="25"/>
      <c r="B488" s="56"/>
      <c r="C488" s="16" t="s">
        <v>69</v>
      </c>
      <c r="D488" s="65" t="s">
        <v>58</v>
      </c>
      <c r="E488" s="50" t="s">
        <v>550</v>
      </c>
      <c r="F488" s="19" t="s">
        <v>122</v>
      </c>
      <c r="G488" s="75" t="s">
        <v>121</v>
      </c>
      <c r="H488" s="167">
        <f>500+56</f>
        <v>556</v>
      </c>
      <c r="I488" s="167">
        <v>0</v>
      </c>
      <c r="J488" s="167">
        <v>0</v>
      </c>
    </row>
    <row r="489" spans="1:10" ht="42" customHeight="1" x14ac:dyDescent="0.25">
      <c r="A489" s="25"/>
      <c r="B489" s="56"/>
      <c r="C489" s="16" t="s">
        <v>69</v>
      </c>
      <c r="D489" s="65" t="s">
        <v>58</v>
      </c>
      <c r="E489" s="131" t="s">
        <v>272</v>
      </c>
      <c r="F489" s="19"/>
      <c r="G489" s="51" t="s">
        <v>271</v>
      </c>
      <c r="H489" s="162">
        <f>H490+H492+H497+H499+H501+H503</f>
        <v>52751.700000000012</v>
      </c>
      <c r="I489" s="162">
        <f>I490+I492+I497+I499+I501+I503</f>
        <v>49791.9</v>
      </c>
      <c r="J489" s="162">
        <f>J490+J492+J497+J499+J501+J503</f>
        <v>49591.9</v>
      </c>
    </row>
    <row r="490" spans="1:10" ht="76.5" x14ac:dyDescent="0.25">
      <c r="A490" s="25"/>
      <c r="B490" s="56"/>
      <c r="C490" s="16" t="s">
        <v>69</v>
      </c>
      <c r="D490" s="65" t="s">
        <v>58</v>
      </c>
      <c r="E490" s="95" t="s">
        <v>273</v>
      </c>
      <c r="F490" s="16"/>
      <c r="G490" s="75" t="s">
        <v>166</v>
      </c>
      <c r="H490" s="162">
        <f>H491</f>
        <v>39737.800000000003</v>
      </c>
      <c r="I490" s="162">
        <f>SUM(I491:I491)</f>
        <v>48296.9</v>
      </c>
      <c r="J490" s="162">
        <f>SUM(J491:J491)</f>
        <v>48296.9</v>
      </c>
    </row>
    <row r="491" spans="1:10" ht="15" x14ac:dyDescent="0.25">
      <c r="A491" s="25"/>
      <c r="B491" s="56"/>
      <c r="C491" s="16" t="s">
        <v>69</v>
      </c>
      <c r="D491" s="65" t="s">
        <v>58</v>
      </c>
      <c r="E491" s="95" t="s">
        <v>273</v>
      </c>
      <c r="F491" s="19" t="s">
        <v>122</v>
      </c>
      <c r="G491" s="75" t="s">
        <v>121</v>
      </c>
      <c r="H491" s="162">
        <f>48296.9-8559.1</f>
        <v>39737.800000000003</v>
      </c>
      <c r="I491" s="162">
        <v>48296.9</v>
      </c>
      <c r="J491" s="162">
        <v>48296.9</v>
      </c>
    </row>
    <row r="492" spans="1:10" ht="36.75" customHeight="1" x14ac:dyDescent="0.25">
      <c r="A492" s="25"/>
      <c r="B492" s="56"/>
      <c r="C492" s="16" t="s">
        <v>69</v>
      </c>
      <c r="D492" s="65" t="s">
        <v>58</v>
      </c>
      <c r="E492" s="132" t="s">
        <v>275</v>
      </c>
      <c r="F492" s="19"/>
      <c r="G492" s="47" t="s">
        <v>274</v>
      </c>
      <c r="H492" s="162">
        <f>SUM(H493:H496)</f>
        <v>8559.1000000000022</v>
      </c>
      <c r="I492" s="162">
        <f t="shared" ref="I492:J492" si="184">I493</f>
        <v>0</v>
      </c>
      <c r="J492" s="162">
        <f t="shared" si="184"/>
        <v>0</v>
      </c>
    </row>
    <row r="493" spans="1:10" ht="15" x14ac:dyDescent="0.25">
      <c r="A493" s="25"/>
      <c r="B493" s="56"/>
      <c r="C493" s="16" t="s">
        <v>69</v>
      </c>
      <c r="D493" s="65" t="s">
        <v>58</v>
      </c>
      <c r="E493" s="133" t="s">
        <v>275</v>
      </c>
      <c r="F493" s="19" t="s">
        <v>122</v>
      </c>
      <c r="G493" s="75" t="s">
        <v>121</v>
      </c>
      <c r="H493" s="162">
        <v>8429.5</v>
      </c>
      <c r="I493" s="162">
        <v>0</v>
      </c>
      <c r="J493" s="162">
        <v>0</v>
      </c>
    </row>
    <row r="494" spans="1:10" ht="15" x14ac:dyDescent="0.25">
      <c r="A494" s="25"/>
      <c r="B494" s="56"/>
      <c r="C494" s="16" t="s">
        <v>69</v>
      </c>
      <c r="D494" s="65" t="s">
        <v>58</v>
      </c>
      <c r="E494" s="132" t="s">
        <v>275</v>
      </c>
      <c r="F494" s="19" t="s">
        <v>558</v>
      </c>
      <c r="G494" s="176" t="s">
        <v>557</v>
      </c>
      <c r="H494" s="162">
        <v>43.2</v>
      </c>
      <c r="I494" s="162">
        <v>0</v>
      </c>
      <c r="J494" s="162">
        <v>0</v>
      </c>
    </row>
    <row r="495" spans="1:10" ht="77.25" x14ac:dyDescent="0.25">
      <c r="A495" s="25"/>
      <c r="B495" s="56"/>
      <c r="C495" s="16" t="s">
        <v>69</v>
      </c>
      <c r="D495" s="65" t="s">
        <v>58</v>
      </c>
      <c r="E495" s="133" t="s">
        <v>275</v>
      </c>
      <c r="F495" s="19" t="s">
        <v>17</v>
      </c>
      <c r="G495" s="94" t="s">
        <v>151</v>
      </c>
      <c r="H495" s="162">
        <v>43.2</v>
      </c>
      <c r="I495" s="162">
        <v>0</v>
      </c>
      <c r="J495" s="162">
        <v>0</v>
      </c>
    </row>
    <row r="496" spans="1:10" ht="64.5" x14ac:dyDescent="0.25">
      <c r="A496" s="25"/>
      <c r="B496" s="56"/>
      <c r="C496" s="16" t="s">
        <v>69</v>
      </c>
      <c r="D496" s="65" t="s">
        <v>58</v>
      </c>
      <c r="E496" s="133" t="s">
        <v>275</v>
      </c>
      <c r="F496" s="19" t="s">
        <v>10</v>
      </c>
      <c r="G496" s="94" t="s">
        <v>154</v>
      </c>
      <c r="H496" s="162">
        <v>43.2</v>
      </c>
      <c r="I496" s="162">
        <v>0</v>
      </c>
      <c r="J496" s="162">
        <v>0</v>
      </c>
    </row>
    <row r="497" spans="1:10" ht="55.15" customHeight="1" x14ac:dyDescent="0.25">
      <c r="A497" s="25"/>
      <c r="B497" s="56"/>
      <c r="C497" s="16" t="s">
        <v>69</v>
      </c>
      <c r="D497" s="65" t="s">
        <v>58</v>
      </c>
      <c r="E497" s="145" t="s">
        <v>402</v>
      </c>
      <c r="F497" s="19"/>
      <c r="G497" s="47" t="s">
        <v>403</v>
      </c>
      <c r="H497" s="162">
        <f>H498</f>
        <v>3159.8</v>
      </c>
      <c r="I497" s="162">
        <f t="shared" ref="I497:J497" si="185">I498</f>
        <v>200</v>
      </c>
      <c r="J497" s="162">
        <f t="shared" si="185"/>
        <v>0</v>
      </c>
    </row>
    <row r="498" spans="1:10" ht="15" x14ac:dyDescent="0.25">
      <c r="A498" s="25"/>
      <c r="B498" s="56"/>
      <c r="C498" s="16" t="s">
        <v>69</v>
      </c>
      <c r="D498" s="65" t="s">
        <v>58</v>
      </c>
      <c r="E498" s="145" t="s">
        <v>402</v>
      </c>
      <c r="F498" s="19" t="s">
        <v>122</v>
      </c>
      <c r="G498" s="75" t="s">
        <v>121</v>
      </c>
      <c r="H498" s="162">
        <v>3159.8</v>
      </c>
      <c r="I498" s="162">
        <v>200</v>
      </c>
      <c r="J498" s="162">
        <v>0</v>
      </c>
    </row>
    <row r="499" spans="1:10" ht="51" x14ac:dyDescent="0.2">
      <c r="A499" s="25"/>
      <c r="B499" s="56"/>
      <c r="C499" s="16" t="s">
        <v>69</v>
      </c>
      <c r="D499" s="65" t="s">
        <v>58</v>
      </c>
      <c r="E499" s="50" t="s">
        <v>276</v>
      </c>
      <c r="F499" s="19"/>
      <c r="G499" s="79" t="s">
        <v>167</v>
      </c>
      <c r="H499" s="162">
        <f>H500</f>
        <v>795</v>
      </c>
      <c r="I499" s="162">
        <f t="shared" ref="I499:J499" si="186">I500</f>
        <v>795</v>
      </c>
      <c r="J499" s="162">
        <f t="shared" si="186"/>
        <v>795</v>
      </c>
    </row>
    <row r="500" spans="1:10" s="35" customFormat="1" ht="14.25" x14ac:dyDescent="0.2">
      <c r="A500" s="25"/>
      <c r="B500" s="56"/>
      <c r="C500" s="16" t="s">
        <v>69</v>
      </c>
      <c r="D500" s="65" t="s">
        <v>58</v>
      </c>
      <c r="E500" s="50" t="s">
        <v>276</v>
      </c>
      <c r="F500" s="19" t="s">
        <v>122</v>
      </c>
      <c r="G500" s="75" t="s">
        <v>121</v>
      </c>
      <c r="H500" s="162">
        <v>795</v>
      </c>
      <c r="I500" s="162">
        <v>795</v>
      </c>
      <c r="J500" s="162">
        <v>795</v>
      </c>
    </row>
    <row r="501" spans="1:10" s="35" customFormat="1" ht="38.25" x14ac:dyDescent="0.2">
      <c r="A501" s="25"/>
      <c r="B501" s="56"/>
      <c r="C501" s="16" t="s">
        <v>69</v>
      </c>
      <c r="D501" s="65" t="s">
        <v>58</v>
      </c>
      <c r="E501" s="50" t="s">
        <v>277</v>
      </c>
      <c r="F501" s="19"/>
      <c r="G501" s="75" t="s">
        <v>114</v>
      </c>
      <c r="H501" s="82">
        <f>H502</f>
        <v>250</v>
      </c>
      <c r="I501" s="82">
        <f t="shared" ref="I501:J501" si="187">I502</f>
        <v>250</v>
      </c>
      <c r="J501" s="82">
        <f t="shared" si="187"/>
        <v>250</v>
      </c>
    </row>
    <row r="502" spans="1:10" s="35" customFormat="1" ht="14.25" x14ac:dyDescent="0.2">
      <c r="A502" s="25"/>
      <c r="B502" s="56"/>
      <c r="C502" s="16" t="s">
        <v>69</v>
      </c>
      <c r="D502" s="65" t="s">
        <v>58</v>
      </c>
      <c r="E502" s="50" t="s">
        <v>277</v>
      </c>
      <c r="F502" s="19" t="s">
        <v>122</v>
      </c>
      <c r="G502" s="75" t="s">
        <v>121</v>
      </c>
      <c r="H502" s="82">
        <v>250</v>
      </c>
      <c r="I502" s="82">
        <v>250</v>
      </c>
      <c r="J502" s="82">
        <v>250</v>
      </c>
    </row>
    <row r="503" spans="1:10" s="35" customFormat="1" ht="38.25" x14ac:dyDescent="0.2">
      <c r="A503" s="25"/>
      <c r="B503" s="56"/>
      <c r="C503" s="16" t="s">
        <v>69</v>
      </c>
      <c r="D503" s="65" t="s">
        <v>58</v>
      </c>
      <c r="E503" s="50" t="s">
        <v>278</v>
      </c>
      <c r="F503" s="19"/>
      <c r="G503" s="75" t="s">
        <v>168</v>
      </c>
      <c r="H503" s="82">
        <f>H504</f>
        <v>250</v>
      </c>
      <c r="I503" s="82">
        <f t="shared" ref="I503:J503" si="188">I504</f>
        <v>250</v>
      </c>
      <c r="J503" s="82">
        <f t="shared" si="188"/>
        <v>250</v>
      </c>
    </row>
    <row r="504" spans="1:10" s="18" customFormat="1" ht="15" x14ac:dyDescent="0.25">
      <c r="A504" s="25"/>
      <c r="B504" s="56"/>
      <c r="C504" s="16" t="s">
        <v>69</v>
      </c>
      <c r="D504" s="65" t="s">
        <v>58</v>
      </c>
      <c r="E504" s="50" t="s">
        <v>278</v>
      </c>
      <c r="F504" s="19" t="s">
        <v>122</v>
      </c>
      <c r="G504" s="75" t="s">
        <v>121</v>
      </c>
      <c r="H504" s="82">
        <v>250</v>
      </c>
      <c r="I504" s="82">
        <v>250</v>
      </c>
      <c r="J504" s="82">
        <v>250</v>
      </c>
    </row>
    <row r="505" spans="1:10" ht="37.5" customHeight="1" x14ac:dyDescent="0.2">
      <c r="A505" s="25"/>
      <c r="B505" s="56"/>
      <c r="C505" s="41" t="s">
        <v>69</v>
      </c>
      <c r="D505" s="41" t="s">
        <v>58</v>
      </c>
      <c r="E505" s="46" t="s">
        <v>279</v>
      </c>
      <c r="F505" s="65"/>
      <c r="G505" s="130" t="s">
        <v>281</v>
      </c>
      <c r="H505" s="88">
        <f>H506</f>
        <v>252</v>
      </c>
      <c r="I505" s="88">
        <f t="shared" ref="I505:J505" si="189">I506</f>
        <v>252</v>
      </c>
      <c r="J505" s="88">
        <f t="shared" si="189"/>
        <v>252</v>
      </c>
    </row>
    <row r="506" spans="1:10" ht="76.5" x14ac:dyDescent="0.2">
      <c r="A506" s="25"/>
      <c r="B506" s="56"/>
      <c r="C506" s="16" t="s">
        <v>69</v>
      </c>
      <c r="D506" s="65" t="s">
        <v>58</v>
      </c>
      <c r="E506" s="50" t="s">
        <v>280</v>
      </c>
      <c r="F506" s="16"/>
      <c r="G506" s="75" t="s">
        <v>170</v>
      </c>
      <c r="H506" s="82">
        <f>H507</f>
        <v>252</v>
      </c>
      <c r="I506" s="82">
        <f>I507</f>
        <v>252</v>
      </c>
      <c r="J506" s="82">
        <f>J507</f>
        <v>252</v>
      </c>
    </row>
    <row r="507" spans="1:10" ht="14.25" x14ac:dyDescent="0.2">
      <c r="A507" s="25"/>
      <c r="B507" s="56"/>
      <c r="C507" s="16" t="s">
        <v>69</v>
      </c>
      <c r="D507" s="65" t="s">
        <v>58</v>
      </c>
      <c r="E507" s="50" t="s">
        <v>280</v>
      </c>
      <c r="F507" s="19" t="s">
        <v>122</v>
      </c>
      <c r="G507" s="75" t="s">
        <v>121</v>
      </c>
      <c r="H507" s="82">
        <v>252</v>
      </c>
      <c r="I507" s="82">
        <v>252</v>
      </c>
      <c r="J507" s="82">
        <v>252</v>
      </c>
    </row>
    <row r="508" spans="1:10" ht="38.25" x14ac:dyDescent="0.2">
      <c r="A508" s="25"/>
      <c r="B508" s="56"/>
      <c r="C508" s="41" t="s">
        <v>69</v>
      </c>
      <c r="D508" s="41" t="s">
        <v>58</v>
      </c>
      <c r="E508" s="65" t="s">
        <v>22</v>
      </c>
      <c r="F508" s="65"/>
      <c r="G508" s="76" t="s">
        <v>28</v>
      </c>
      <c r="H508" s="182">
        <f>H509</f>
        <v>450</v>
      </c>
      <c r="I508" s="182">
        <f t="shared" ref="I508:J508" si="190">I509</f>
        <v>0</v>
      </c>
      <c r="J508" s="182">
        <f t="shared" si="190"/>
        <v>0</v>
      </c>
    </row>
    <row r="509" spans="1:10" ht="51" x14ac:dyDescent="0.2">
      <c r="A509" s="25"/>
      <c r="B509" s="56"/>
      <c r="C509" s="16" t="s">
        <v>69</v>
      </c>
      <c r="D509" s="65" t="s">
        <v>58</v>
      </c>
      <c r="E509" s="65" t="s">
        <v>599</v>
      </c>
      <c r="F509" s="16"/>
      <c r="G509" s="106" t="s">
        <v>607</v>
      </c>
      <c r="H509" s="182">
        <f>SUM(H510:H510)</f>
        <v>450</v>
      </c>
      <c r="I509" s="182">
        <f>SUM(I510:I510)</f>
        <v>0</v>
      </c>
      <c r="J509" s="182">
        <f>SUM(J510:J510)</f>
        <v>0</v>
      </c>
    </row>
    <row r="510" spans="1:10" ht="14.25" x14ac:dyDescent="0.2">
      <c r="A510" s="25"/>
      <c r="B510" s="56"/>
      <c r="C510" s="16" t="s">
        <v>69</v>
      </c>
      <c r="D510" s="65" t="s">
        <v>58</v>
      </c>
      <c r="E510" s="65" t="s">
        <v>599</v>
      </c>
      <c r="F510" s="19" t="s">
        <v>122</v>
      </c>
      <c r="G510" s="75" t="s">
        <v>121</v>
      </c>
      <c r="H510" s="37">
        <v>450</v>
      </c>
      <c r="I510" s="37">
        <v>0</v>
      </c>
      <c r="J510" s="37">
        <v>0</v>
      </c>
    </row>
    <row r="511" spans="1:10" ht="38.25" x14ac:dyDescent="0.2">
      <c r="A511" s="25"/>
      <c r="B511" s="56"/>
      <c r="C511" s="33" t="s">
        <v>69</v>
      </c>
      <c r="D511" s="33" t="s">
        <v>60</v>
      </c>
      <c r="E511" s="33"/>
      <c r="F511" s="33"/>
      <c r="G511" s="40" t="s">
        <v>1</v>
      </c>
      <c r="H511" s="161">
        <f t="shared" ref="H511:J512" si="191">H512</f>
        <v>250.1</v>
      </c>
      <c r="I511" s="161">
        <f t="shared" si="191"/>
        <v>250.1</v>
      </c>
      <c r="J511" s="161">
        <f t="shared" si="191"/>
        <v>250.1</v>
      </c>
    </row>
    <row r="512" spans="1:10" s="35" customFormat="1" ht="89.25" x14ac:dyDescent="0.2">
      <c r="A512" s="25"/>
      <c r="B512" s="56"/>
      <c r="C512" s="16" t="s">
        <v>69</v>
      </c>
      <c r="D512" s="16" t="s">
        <v>60</v>
      </c>
      <c r="E512" s="57" t="s">
        <v>46</v>
      </c>
      <c r="F512" s="33"/>
      <c r="G512" s="126" t="s">
        <v>204</v>
      </c>
      <c r="H512" s="164">
        <f t="shared" si="191"/>
        <v>250.1</v>
      </c>
      <c r="I512" s="164">
        <f t="shared" si="191"/>
        <v>250.1</v>
      </c>
      <c r="J512" s="164">
        <f t="shared" si="191"/>
        <v>250.1</v>
      </c>
    </row>
    <row r="513" spans="1:10" s="35" customFormat="1" ht="39.75" customHeight="1" x14ac:dyDescent="0.2">
      <c r="A513" s="25"/>
      <c r="B513" s="56"/>
      <c r="C513" s="16" t="s">
        <v>69</v>
      </c>
      <c r="D513" s="16" t="s">
        <v>60</v>
      </c>
      <c r="E513" s="46" t="s">
        <v>279</v>
      </c>
      <c r="F513" s="33"/>
      <c r="G513" s="130" t="s">
        <v>281</v>
      </c>
      <c r="H513" s="163">
        <f t="shared" ref="H513:J514" si="192">H514</f>
        <v>250.1</v>
      </c>
      <c r="I513" s="163">
        <f t="shared" si="192"/>
        <v>250.1</v>
      </c>
      <c r="J513" s="163">
        <f t="shared" si="192"/>
        <v>250.1</v>
      </c>
    </row>
    <row r="514" spans="1:10" ht="38.25" x14ac:dyDescent="0.2">
      <c r="A514" s="25"/>
      <c r="B514" s="56"/>
      <c r="C514" s="16" t="s">
        <v>69</v>
      </c>
      <c r="D514" s="16" t="s">
        <v>60</v>
      </c>
      <c r="E514" s="50" t="s">
        <v>282</v>
      </c>
      <c r="F514" s="16"/>
      <c r="G514" s="75" t="s">
        <v>33</v>
      </c>
      <c r="H514" s="82">
        <f t="shared" si="192"/>
        <v>250.1</v>
      </c>
      <c r="I514" s="82">
        <f t="shared" si="192"/>
        <v>250.1</v>
      </c>
      <c r="J514" s="82">
        <f t="shared" si="192"/>
        <v>250.1</v>
      </c>
    </row>
    <row r="515" spans="1:10" x14ac:dyDescent="0.2">
      <c r="A515" s="1"/>
      <c r="B515" s="23"/>
      <c r="C515" s="16" t="s">
        <v>69</v>
      </c>
      <c r="D515" s="16" t="s">
        <v>60</v>
      </c>
      <c r="E515" s="50" t="s">
        <v>282</v>
      </c>
      <c r="F515" s="19" t="s">
        <v>122</v>
      </c>
      <c r="G515" s="75" t="s">
        <v>121</v>
      </c>
      <c r="H515" s="162">
        <f>250+0.1</f>
        <v>250.1</v>
      </c>
      <c r="I515" s="162">
        <f t="shared" ref="I515:J515" si="193">250+0.1</f>
        <v>250.1</v>
      </c>
      <c r="J515" s="162">
        <f t="shared" si="193"/>
        <v>250.1</v>
      </c>
    </row>
    <row r="516" spans="1:10" ht="14.25" x14ac:dyDescent="0.2">
      <c r="A516" s="25"/>
      <c r="B516" s="56"/>
      <c r="C516" s="33" t="s">
        <v>69</v>
      </c>
      <c r="D516" s="33" t="s">
        <v>64</v>
      </c>
      <c r="E516" s="33"/>
      <c r="F516" s="33"/>
      <c r="G516" s="39" t="s">
        <v>74</v>
      </c>
      <c r="H516" s="161">
        <f>H517</f>
        <v>23814.699999999997</v>
      </c>
      <c r="I516" s="161">
        <f t="shared" ref="I516:J516" si="194">I517</f>
        <v>23679.699999999997</v>
      </c>
      <c r="J516" s="161">
        <f t="shared" si="194"/>
        <v>23679.699999999997</v>
      </c>
    </row>
    <row r="517" spans="1:10" ht="89.25" x14ac:dyDescent="0.2">
      <c r="A517" s="25"/>
      <c r="B517" s="56"/>
      <c r="C517" s="16" t="s">
        <v>69</v>
      </c>
      <c r="D517" s="16" t="s">
        <v>64</v>
      </c>
      <c r="E517" s="19" t="s">
        <v>46</v>
      </c>
      <c r="F517" s="33"/>
      <c r="G517" s="126" t="s">
        <v>204</v>
      </c>
      <c r="H517" s="164">
        <f>H518+H521+H525+H529+H543</f>
        <v>23814.699999999997</v>
      </c>
      <c r="I517" s="164">
        <f t="shared" ref="I517:J517" si="195">I518+I521+I525+I529+I543</f>
        <v>23679.699999999997</v>
      </c>
      <c r="J517" s="164">
        <f t="shared" si="195"/>
        <v>23679.699999999997</v>
      </c>
    </row>
    <row r="518" spans="1:10" ht="90" customHeight="1" x14ac:dyDescent="0.2">
      <c r="A518" s="25"/>
      <c r="B518" s="56"/>
      <c r="C518" s="16" t="s">
        <v>69</v>
      </c>
      <c r="D518" s="16" t="s">
        <v>64</v>
      </c>
      <c r="E518" s="46" t="s">
        <v>163</v>
      </c>
      <c r="F518" s="33"/>
      <c r="G518" s="135" t="s">
        <v>266</v>
      </c>
      <c r="H518" s="163">
        <f>H519</f>
        <v>810</v>
      </c>
      <c r="I518" s="163">
        <f t="shared" ref="I518:J518" si="196">I519</f>
        <v>810</v>
      </c>
      <c r="J518" s="163">
        <f t="shared" si="196"/>
        <v>810</v>
      </c>
    </row>
    <row r="519" spans="1:10" ht="38.25" x14ac:dyDescent="0.2">
      <c r="A519" s="25"/>
      <c r="B519" s="56"/>
      <c r="C519" s="16" t="s">
        <v>69</v>
      </c>
      <c r="D519" s="16" t="s">
        <v>64</v>
      </c>
      <c r="E519" s="19" t="s">
        <v>287</v>
      </c>
      <c r="F519" s="33"/>
      <c r="G519" s="128" t="s">
        <v>286</v>
      </c>
      <c r="H519" s="162">
        <f>H520</f>
        <v>810</v>
      </c>
      <c r="I519" s="162">
        <f t="shared" ref="I519:J519" si="197">I520</f>
        <v>810</v>
      </c>
      <c r="J519" s="162">
        <f t="shared" si="197"/>
        <v>810</v>
      </c>
    </row>
    <row r="520" spans="1:10" ht="38.25" x14ac:dyDescent="0.2">
      <c r="A520" s="25"/>
      <c r="B520" s="56"/>
      <c r="C520" s="16" t="s">
        <v>69</v>
      </c>
      <c r="D520" s="16" t="s">
        <v>64</v>
      </c>
      <c r="E520" s="19" t="s">
        <v>287</v>
      </c>
      <c r="F520" s="65" t="s">
        <v>119</v>
      </c>
      <c r="G520" s="75" t="s">
        <v>120</v>
      </c>
      <c r="H520" s="162">
        <v>810</v>
      </c>
      <c r="I520" s="162">
        <v>810</v>
      </c>
      <c r="J520" s="162">
        <v>810</v>
      </c>
    </row>
    <row r="521" spans="1:10" ht="51" customHeight="1" x14ac:dyDescent="0.2">
      <c r="A521" s="25"/>
      <c r="B521" s="56"/>
      <c r="C521" s="16" t="s">
        <v>69</v>
      </c>
      <c r="D521" s="16" t="s">
        <v>64</v>
      </c>
      <c r="E521" s="46" t="s">
        <v>165</v>
      </c>
      <c r="F521" s="19"/>
      <c r="G521" s="130" t="s">
        <v>283</v>
      </c>
      <c r="H521" s="163">
        <f>H522</f>
        <v>8268.4</v>
      </c>
      <c r="I521" s="163">
        <f t="shared" ref="I521:J521" si="198">I522</f>
        <v>8268.4</v>
      </c>
      <c r="J521" s="163">
        <f t="shared" si="198"/>
        <v>8268.4</v>
      </c>
    </row>
    <row r="522" spans="1:10" ht="28.5" customHeight="1" x14ac:dyDescent="0.2">
      <c r="A522" s="25"/>
      <c r="B522" s="56"/>
      <c r="C522" s="16" t="s">
        <v>69</v>
      </c>
      <c r="D522" s="16" t="s">
        <v>64</v>
      </c>
      <c r="E522" s="50" t="s">
        <v>285</v>
      </c>
      <c r="F522" s="19"/>
      <c r="G522" s="75" t="s">
        <v>284</v>
      </c>
      <c r="H522" s="82">
        <f>SUM(H523:H524)</f>
        <v>8268.4</v>
      </c>
      <c r="I522" s="82">
        <f t="shared" ref="I522:J522" si="199">SUM(I523:I524)</f>
        <v>8268.4</v>
      </c>
      <c r="J522" s="82">
        <f t="shared" si="199"/>
        <v>8268.4</v>
      </c>
    </row>
    <row r="523" spans="1:10" ht="38.25" customHeight="1" x14ac:dyDescent="0.2">
      <c r="A523" s="25"/>
      <c r="B523" s="56"/>
      <c r="C523" s="16" t="s">
        <v>69</v>
      </c>
      <c r="D523" s="16" t="s">
        <v>64</v>
      </c>
      <c r="E523" s="50" t="s">
        <v>285</v>
      </c>
      <c r="F523" s="65" t="s">
        <v>119</v>
      </c>
      <c r="G523" s="75" t="s">
        <v>120</v>
      </c>
      <c r="H523" s="82">
        <v>200</v>
      </c>
      <c r="I523" s="82">
        <v>200</v>
      </c>
      <c r="J523" s="82">
        <v>200</v>
      </c>
    </row>
    <row r="524" spans="1:10" ht="14.25" x14ac:dyDescent="0.2">
      <c r="A524" s="25"/>
      <c r="B524" s="56"/>
      <c r="C524" s="16" t="s">
        <v>69</v>
      </c>
      <c r="D524" s="16" t="s">
        <v>64</v>
      </c>
      <c r="E524" s="50" t="s">
        <v>285</v>
      </c>
      <c r="F524" s="19" t="s">
        <v>122</v>
      </c>
      <c r="G524" s="75" t="s">
        <v>121</v>
      </c>
      <c r="H524" s="82">
        <v>8068.4</v>
      </c>
      <c r="I524" s="82">
        <v>8068.4</v>
      </c>
      <c r="J524" s="82">
        <v>8068.4</v>
      </c>
    </row>
    <row r="525" spans="1:10" ht="52.5" customHeight="1" x14ac:dyDescent="0.2">
      <c r="A525" s="25"/>
      <c r="B525" s="56"/>
      <c r="C525" s="16" t="s">
        <v>69</v>
      </c>
      <c r="D525" s="16" t="s">
        <v>64</v>
      </c>
      <c r="E525" s="46" t="s">
        <v>246</v>
      </c>
      <c r="F525" s="19"/>
      <c r="G525" s="130" t="s">
        <v>245</v>
      </c>
      <c r="H525" s="82">
        <f>H526</f>
        <v>226.5</v>
      </c>
      <c r="I525" s="82">
        <f t="shared" ref="I525:J525" si="200">I526</f>
        <v>226.5</v>
      </c>
      <c r="J525" s="82">
        <f t="shared" si="200"/>
        <v>226.5</v>
      </c>
    </row>
    <row r="526" spans="1:10" ht="37.5" customHeight="1" x14ac:dyDescent="0.25">
      <c r="A526" s="25"/>
      <c r="B526" s="56"/>
      <c r="C526" s="16" t="s">
        <v>69</v>
      </c>
      <c r="D526" s="16" t="s">
        <v>64</v>
      </c>
      <c r="E526" s="134" t="s">
        <v>289</v>
      </c>
      <c r="F526" s="19"/>
      <c r="G526" s="127" t="s">
        <v>535</v>
      </c>
      <c r="H526" s="82">
        <f>SUM(H527:H528)</f>
        <v>226.5</v>
      </c>
      <c r="I526" s="82">
        <f t="shared" ref="I526:J526" si="201">SUM(I527:I528)</f>
        <v>226.5</v>
      </c>
      <c r="J526" s="82">
        <f t="shared" si="201"/>
        <v>226.5</v>
      </c>
    </row>
    <row r="527" spans="1:10" ht="25.5" x14ac:dyDescent="0.25">
      <c r="A527" s="25"/>
      <c r="B527" s="56"/>
      <c r="C527" s="16" t="s">
        <v>69</v>
      </c>
      <c r="D527" s="16" t="s">
        <v>64</v>
      </c>
      <c r="E527" s="134" t="s">
        <v>289</v>
      </c>
      <c r="F527" s="65" t="s">
        <v>42</v>
      </c>
      <c r="G527" s="48" t="s">
        <v>95</v>
      </c>
      <c r="H527" s="82">
        <v>88.5</v>
      </c>
      <c r="I527" s="82">
        <v>88.5</v>
      </c>
      <c r="J527" s="82">
        <v>88.5</v>
      </c>
    </row>
    <row r="528" spans="1:10" ht="38.25" x14ac:dyDescent="0.25">
      <c r="A528" s="25"/>
      <c r="B528" s="56"/>
      <c r="C528" s="16" t="s">
        <v>69</v>
      </c>
      <c r="D528" s="16" t="s">
        <v>64</v>
      </c>
      <c r="E528" s="134" t="s">
        <v>289</v>
      </c>
      <c r="F528" s="65" t="s">
        <v>119</v>
      </c>
      <c r="G528" s="75" t="s">
        <v>120</v>
      </c>
      <c r="H528" s="82">
        <v>138</v>
      </c>
      <c r="I528" s="82">
        <v>138</v>
      </c>
      <c r="J528" s="82">
        <v>138</v>
      </c>
    </row>
    <row r="529" spans="1:10" ht="39" customHeight="1" x14ac:dyDescent="0.2">
      <c r="A529" s="25"/>
      <c r="B529" s="56"/>
      <c r="C529" s="16" t="s">
        <v>69</v>
      </c>
      <c r="D529" s="16" t="s">
        <v>64</v>
      </c>
      <c r="E529" s="46" t="s">
        <v>279</v>
      </c>
      <c r="F529" s="33"/>
      <c r="G529" s="130" t="s">
        <v>281</v>
      </c>
      <c r="H529" s="82">
        <f>H530+H532+H534+H536+H539+H541</f>
        <v>1775.2999999999997</v>
      </c>
      <c r="I529" s="82">
        <f t="shared" ref="I529:J529" si="202">I530+I532+I534+I536+I539</f>
        <v>1640.2999999999997</v>
      </c>
      <c r="J529" s="82">
        <f t="shared" si="202"/>
        <v>1640.2999999999997</v>
      </c>
    </row>
    <row r="530" spans="1:10" ht="39.75" customHeight="1" x14ac:dyDescent="0.25">
      <c r="A530" s="25"/>
      <c r="B530" s="56"/>
      <c r="C530" s="16" t="s">
        <v>69</v>
      </c>
      <c r="D530" s="16" t="s">
        <v>64</v>
      </c>
      <c r="E530" s="134" t="s">
        <v>290</v>
      </c>
      <c r="F530" s="16"/>
      <c r="G530" s="74" t="s">
        <v>169</v>
      </c>
      <c r="H530" s="113">
        <f>H531</f>
        <v>260</v>
      </c>
      <c r="I530" s="113">
        <f>I531</f>
        <v>260</v>
      </c>
      <c r="J530" s="113">
        <f>J531</f>
        <v>260</v>
      </c>
    </row>
    <row r="531" spans="1:10" ht="15" x14ac:dyDescent="0.25">
      <c r="A531" s="25"/>
      <c r="B531" s="56"/>
      <c r="C531" s="16" t="s">
        <v>69</v>
      </c>
      <c r="D531" s="16" t="s">
        <v>64</v>
      </c>
      <c r="E531" s="134" t="s">
        <v>290</v>
      </c>
      <c r="F531" s="65" t="s">
        <v>148</v>
      </c>
      <c r="G531" s="75" t="s">
        <v>149</v>
      </c>
      <c r="H531" s="82">
        <v>260</v>
      </c>
      <c r="I531" s="82">
        <v>260</v>
      </c>
      <c r="J531" s="82">
        <v>260</v>
      </c>
    </row>
    <row r="532" spans="1:10" ht="38.25" x14ac:dyDescent="0.2">
      <c r="A532" s="25"/>
      <c r="B532" s="56"/>
      <c r="C532" s="16" t="s">
        <v>69</v>
      </c>
      <c r="D532" s="16" t="s">
        <v>64</v>
      </c>
      <c r="E532" s="50" t="s">
        <v>291</v>
      </c>
      <c r="F532" s="16"/>
      <c r="G532" s="75" t="s">
        <v>36</v>
      </c>
      <c r="H532" s="82">
        <f>H533</f>
        <v>118.7</v>
      </c>
      <c r="I532" s="82">
        <f>I533</f>
        <v>114.2</v>
      </c>
      <c r="J532" s="82">
        <f>J533</f>
        <v>114.2</v>
      </c>
    </row>
    <row r="533" spans="1:10" ht="38.25" x14ac:dyDescent="0.2">
      <c r="A533" s="25"/>
      <c r="B533" s="56"/>
      <c r="C533" s="16" t="s">
        <v>69</v>
      </c>
      <c r="D533" s="16" t="s">
        <v>64</v>
      </c>
      <c r="E533" s="50" t="s">
        <v>291</v>
      </c>
      <c r="F533" s="65" t="s">
        <v>119</v>
      </c>
      <c r="G533" s="75" t="s">
        <v>120</v>
      </c>
      <c r="H533" s="82">
        <f>114.2+4.5</f>
        <v>118.7</v>
      </c>
      <c r="I533" s="82">
        <v>114.2</v>
      </c>
      <c r="J533" s="82">
        <v>114.2</v>
      </c>
    </row>
    <row r="534" spans="1:10" ht="63.75" x14ac:dyDescent="0.25">
      <c r="A534" s="25"/>
      <c r="B534" s="56"/>
      <c r="C534" s="16" t="s">
        <v>69</v>
      </c>
      <c r="D534" s="16" t="s">
        <v>64</v>
      </c>
      <c r="E534" s="134" t="s">
        <v>293</v>
      </c>
      <c r="F534" s="65"/>
      <c r="G534" s="75" t="s">
        <v>98</v>
      </c>
      <c r="H534" s="82">
        <f>H535</f>
        <v>562.6</v>
      </c>
      <c r="I534" s="82">
        <f>I535</f>
        <v>567.1</v>
      </c>
      <c r="J534" s="82">
        <f>J535</f>
        <v>567.1</v>
      </c>
    </row>
    <row r="535" spans="1:10" ht="38.25" x14ac:dyDescent="0.25">
      <c r="A535" s="25"/>
      <c r="B535" s="56"/>
      <c r="C535" s="16" t="s">
        <v>69</v>
      </c>
      <c r="D535" s="16" t="s">
        <v>64</v>
      </c>
      <c r="E535" s="134" t="s">
        <v>293</v>
      </c>
      <c r="F535" s="65" t="s">
        <v>119</v>
      </c>
      <c r="G535" s="75" t="s">
        <v>120</v>
      </c>
      <c r="H535" s="82">
        <f>567.1-4.5</f>
        <v>562.6</v>
      </c>
      <c r="I535" s="82">
        <v>567.1</v>
      </c>
      <c r="J535" s="82">
        <v>567.1</v>
      </c>
    </row>
    <row r="536" spans="1:10" ht="82.5" customHeight="1" x14ac:dyDescent="0.2">
      <c r="A536" s="25"/>
      <c r="B536" s="56"/>
      <c r="C536" s="16" t="s">
        <v>69</v>
      </c>
      <c r="D536" s="16" t="s">
        <v>64</v>
      </c>
      <c r="E536" s="63">
        <v>150423025</v>
      </c>
      <c r="F536" s="65"/>
      <c r="G536" s="75" t="s">
        <v>196</v>
      </c>
      <c r="H536" s="82">
        <f>SUM(H537:H538)</f>
        <v>697.4</v>
      </c>
      <c r="I536" s="82">
        <f t="shared" ref="I536:J536" si="203">SUM(I537:I538)</f>
        <v>612.4</v>
      </c>
      <c r="J536" s="82">
        <f t="shared" si="203"/>
        <v>612.4</v>
      </c>
    </row>
    <row r="537" spans="1:10" ht="38.25" x14ac:dyDescent="0.2">
      <c r="A537" s="25"/>
      <c r="B537" s="56"/>
      <c r="C537" s="16" t="s">
        <v>69</v>
      </c>
      <c r="D537" s="16" t="s">
        <v>64</v>
      </c>
      <c r="E537" s="63">
        <v>150423025</v>
      </c>
      <c r="F537" s="65" t="s">
        <v>119</v>
      </c>
      <c r="G537" s="75" t="s">
        <v>120</v>
      </c>
      <c r="H537" s="82">
        <f>577.4</f>
        <v>577.4</v>
      </c>
      <c r="I537" s="82">
        <v>577.4</v>
      </c>
      <c r="J537" s="82">
        <v>577.4</v>
      </c>
    </row>
    <row r="538" spans="1:10" ht="14.25" x14ac:dyDescent="0.2">
      <c r="A538" s="25"/>
      <c r="B538" s="56"/>
      <c r="C538" s="16" t="s">
        <v>69</v>
      </c>
      <c r="D538" s="16" t="s">
        <v>64</v>
      </c>
      <c r="E538" s="63">
        <v>150423025</v>
      </c>
      <c r="F538" s="65" t="s">
        <v>184</v>
      </c>
      <c r="G538" s="75" t="s">
        <v>185</v>
      </c>
      <c r="H538" s="82">
        <f>35+85</f>
        <v>120</v>
      </c>
      <c r="I538" s="82">
        <v>35</v>
      </c>
      <c r="J538" s="82">
        <v>35</v>
      </c>
    </row>
    <row r="539" spans="1:10" ht="38.25" x14ac:dyDescent="0.2">
      <c r="A539" s="25"/>
      <c r="B539" s="56"/>
      <c r="C539" s="16" t="s">
        <v>69</v>
      </c>
      <c r="D539" s="16" t="s">
        <v>64</v>
      </c>
      <c r="E539" s="50" t="s">
        <v>292</v>
      </c>
      <c r="F539" s="16"/>
      <c r="G539" s="47" t="s">
        <v>174</v>
      </c>
      <c r="H539" s="162">
        <f>H540</f>
        <v>86.6</v>
      </c>
      <c r="I539" s="162">
        <f>I540</f>
        <v>86.6</v>
      </c>
      <c r="J539" s="162">
        <f>J540</f>
        <v>86.6</v>
      </c>
    </row>
    <row r="540" spans="1:10" ht="14.25" x14ac:dyDescent="0.2">
      <c r="A540" s="25"/>
      <c r="B540" s="56"/>
      <c r="C540" s="16" t="s">
        <v>69</v>
      </c>
      <c r="D540" s="16" t="s">
        <v>64</v>
      </c>
      <c r="E540" s="50" t="s">
        <v>292</v>
      </c>
      <c r="F540" s="19" t="s">
        <v>122</v>
      </c>
      <c r="G540" s="75" t="s">
        <v>121</v>
      </c>
      <c r="H540" s="162">
        <v>86.6</v>
      </c>
      <c r="I540" s="162">
        <v>86.6</v>
      </c>
      <c r="J540" s="162">
        <v>86.6</v>
      </c>
    </row>
    <row r="541" spans="1:10" ht="78.75" customHeight="1" x14ac:dyDescent="0.2">
      <c r="A541" s="25"/>
      <c r="B541" s="56"/>
      <c r="C541" s="16" t="s">
        <v>69</v>
      </c>
      <c r="D541" s="16" t="s">
        <v>64</v>
      </c>
      <c r="E541" s="50" t="s">
        <v>551</v>
      </c>
      <c r="F541" s="19"/>
      <c r="G541" s="47" t="s">
        <v>553</v>
      </c>
      <c r="H541" s="162">
        <f>H542</f>
        <v>50</v>
      </c>
      <c r="I541" s="162">
        <f t="shared" ref="I541:J541" si="204">I542</f>
        <v>0</v>
      </c>
      <c r="J541" s="162">
        <f t="shared" si="204"/>
        <v>0</v>
      </c>
    </row>
    <row r="542" spans="1:10" ht="38.25" x14ac:dyDescent="0.2">
      <c r="A542" s="25"/>
      <c r="B542" s="56"/>
      <c r="C542" s="16" t="s">
        <v>69</v>
      </c>
      <c r="D542" s="16" t="s">
        <v>64</v>
      </c>
      <c r="E542" s="50" t="s">
        <v>551</v>
      </c>
      <c r="F542" s="65" t="s">
        <v>119</v>
      </c>
      <c r="G542" s="75" t="s">
        <v>120</v>
      </c>
      <c r="H542" s="162">
        <v>50</v>
      </c>
      <c r="I542" s="162">
        <v>0</v>
      </c>
      <c r="J542" s="162">
        <v>0</v>
      </c>
    </row>
    <row r="543" spans="1:10" ht="39" customHeight="1" x14ac:dyDescent="0.25">
      <c r="A543" s="25"/>
      <c r="B543" s="56"/>
      <c r="C543" s="16" t="s">
        <v>69</v>
      </c>
      <c r="D543" s="16" t="s">
        <v>64</v>
      </c>
      <c r="E543" s="131" t="s">
        <v>526</v>
      </c>
      <c r="F543" s="16"/>
      <c r="G543" s="52" t="s">
        <v>294</v>
      </c>
      <c r="H543" s="82">
        <f>H544</f>
        <v>12734.5</v>
      </c>
      <c r="I543" s="82">
        <f>I544</f>
        <v>12734.5</v>
      </c>
      <c r="J543" s="82">
        <f>J544</f>
        <v>12734.5</v>
      </c>
    </row>
    <row r="544" spans="1:10" ht="63.75" x14ac:dyDescent="0.2">
      <c r="A544" s="25"/>
      <c r="B544" s="56"/>
      <c r="C544" s="16" t="s">
        <v>69</v>
      </c>
      <c r="D544" s="16" t="s">
        <v>64</v>
      </c>
      <c r="E544" s="63">
        <v>159922200</v>
      </c>
      <c r="F544" s="65"/>
      <c r="G544" s="127" t="s">
        <v>295</v>
      </c>
      <c r="H544" s="82">
        <f>SUM(H545:H546)</f>
        <v>12734.5</v>
      </c>
      <c r="I544" s="82">
        <f>SUM(I545:I546)</f>
        <v>12734.5</v>
      </c>
      <c r="J544" s="82">
        <f>SUM(J545:J546)</f>
        <v>12734.5</v>
      </c>
    </row>
    <row r="545" spans="1:10" ht="38.25" x14ac:dyDescent="0.2">
      <c r="A545" s="25"/>
      <c r="B545" s="56"/>
      <c r="C545" s="16" t="s">
        <v>69</v>
      </c>
      <c r="D545" s="16" t="s">
        <v>64</v>
      </c>
      <c r="E545" s="63">
        <v>159922200</v>
      </c>
      <c r="F545" s="16" t="s">
        <v>40</v>
      </c>
      <c r="G545" s="48" t="s">
        <v>41</v>
      </c>
      <c r="H545" s="82">
        <f>10005.3+2057.2</f>
        <v>12062.5</v>
      </c>
      <c r="I545" s="82">
        <f t="shared" ref="I545:J545" si="205">10005.3+2057.2</f>
        <v>12062.5</v>
      </c>
      <c r="J545" s="82">
        <f t="shared" si="205"/>
        <v>12062.5</v>
      </c>
    </row>
    <row r="546" spans="1:10" ht="38.25" x14ac:dyDescent="0.2">
      <c r="A546" s="25"/>
      <c r="B546" s="56"/>
      <c r="C546" s="16" t="s">
        <v>69</v>
      </c>
      <c r="D546" s="16" t="s">
        <v>64</v>
      </c>
      <c r="E546" s="63">
        <v>159922200</v>
      </c>
      <c r="F546" s="65" t="s">
        <v>119</v>
      </c>
      <c r="G546" s="75" t="s">
        <v>120</v>
      </c>
      <c r="H546" s="82">
        <v>672</v>
      </c>
      <c r="I546" s="82">
        <v>672</v>
      </c>
      <c r="J546" s="82">
        <v>672</v>
      </c>
    </row>
    <row r="547" spans="1:10" ht="15.75" x14ac:dyDescent="0.25">
      <c r="A547" s="3"/>
      <c r="B547" s="73"/>
      <c r="C547" s="4" t="s">
        <v>75</v>
      </c>
      <c r="D547" s="3"/>
      <c r="E547" s="3"/>
      <c r="F547" s="3"/>
      <c r="G547" s="43" t="s">
        <v>76</v>
      </c>
      <c r="H547" s="156">
        <f>H548+H553</f>
        <v>9562</v>
      </c>
      <c r="I547" s="156">
        <f>I548+I553</f>
        <v>9562</v>
      </c>
      <c r="J547" s="156">
        <f>J548+J553</f>
        <v>9562</v>
      </c>
    </row>
    <row r="548" spans="1:10" ht="15.75" x14ac:dyDescent="0.25">
      <c r="A548" s="3"/>
      <c r="B548" s="73"/>
      <c r="C548" s="33" t="s">
        <v>75</v>
      </c>
      <c r="D548" s="33" t="s">
        <v>58</v>
      </c>
      <c r="E548" s="33"/>
      <c r="F548" s="33"/>
      <c r="G548" s="39" t="s">
        <v>81</v>
      </c>
      <c r="H548" s="88">
        <f t="shared" ref="H548:J550" si="206">H549</f>
        <v>990</v>
      </c>
      <c r="I548" s="88">
        <f t="shared" si="206"/>
        <v>990</v>
      </c>
      <c r="J548" s="88">
        <f t="shared" si="206"/>
        <v>990</v>
      </c>
    </row>
    <row r="549" spans="1:10" ht="89.25" x14ac:dyDescent="0.25">
      <c r="A549" s="3"/>
      <c r="B549" s="73"/>
      <c r="C549" s="65" t="s">
        <v>75</v>
      </c>
      <c r="D549" s="65" t="s">
        <v>58</v>
      </c>
      <c r="E549" s="19" t="s">
        <v>46</v>
      </c>
      <c r="F549" s="33"/>
      <c r="G549" s="126" t="s">
        <v>204</v>
      </c>
      <c r="H549" s="86">
        <f t="shared" si="206"/>
        <v>990</v>
      </c>
      <c r="I549" s="86">
        <f t="shared" si="206"/>
        <v>990</v>
      </c>
      <c r="J549" s="86">
        <f t="shared" si="206"/>
        <v>990</v>
      </c>
    </row>
    <row r="550" spans="1:10" ht="43.5" customHeight="1" x14ac:dyDescent="0.25">
      <c r="A550" s="3"/>
      <c r="B550" s="73"/>
      <c r="C550" s="41" t="s">
        <v>75</v>
      </c>
      <c r="D550" s="41" t="s">
        <v>58</v>
      </c>
      <c r="E550" s="46" t="s">
        <v>279</v>
      </c>
      <c r="F550" s="65"/>
      <c r="G550" s="130" t="s">
        <v>281</v>
      </c>
      <c r="H550" s="82">
        <f>H551</f>
        <v>990</v>
      </c>
      <c r="I550" s="82">
        <f t="shared" si="206"/>
        <v>990</v>
      </c>
      <c r="J550" s="82">
        <f t="shared" si="206"/>
        <v>990</v>
      </c>
    </row>
    <row r="551" spans="1:10" ht="102" x14ac:dyDescent="0.25">
      <c r="A551" s="3"/>
      <c r="B551" s="73"/>
      <c r="C551" s="16" t="s">
        <v>75</v>
      </c>
      <c r="D551" s="16" t="s">
        <v>58</v>
      </c>
      <c r="E551" s="63">
        <v>150410560</v>
      </c>
      <c r="F551" s="65"/>
      <c r="G551" s="75" t="s">
        <v>519</v>
      </c>
      <c r="H551" s="82">
        <f>H552</f>
        <v>990</v>
      </c>
      <c r="I551" s="82">
        <f>I552</f>
        <v>990</v>
      </c>
      <c r="J551" s="82">
        <f>J552</f>
        <v>990</v>
      </c>
    </row>
    <row r="552" spans="1:10" ht="25.5" x14ac:dyDescent="0.25">
      <c r="A552" s="3"/>
      <c r="B552" s="73"/>
      <c r="C552" s="16" t="s">
        <v>75</v>
      </c>
      <c r="D552" s="16" t="s">
        <v>58</v>
      </c>
      <c r="E552" s="63">
        <v>150410560</v>
      </c>
      <c r="F552" s="65" t="s">
        <v>129</v>
      </c>
      <c r="G552" s="75" t="s">
        <v>130</v>
      </c>
      <c r="H552" s="82">
        <v>990</v>
      </c>
      <c r="I552" s="82">
        <v>990</v>
      </c>
      <c r="J552" s="82">
        <v>990</v>
      </c>
    </row>
    <row r="553" spans="1:10" ht="14.25" x14ac:dyDescent="0.2">
      <c r="A553" s="1"/>
      <c r="B553" s="23"/>
      <c r="C553" s="33" t="s">
        <v>75</v>
      </c>
      <c r="D553" s="33" t="s">
        <v>59</v>
      </c>
      <c r="E553" s="33"/>
      <c r="F553" s="36"/>
      <c r="G553" s="44" t="s">
        <v>11</v>
      </c>
      <c r="H553" s="161">
        <f t="shared" ref="H553:J555" si="207">H554</f>
        <v>8572</v>
      </c>
      <c r="I553" s="161">
        <f t="shared" si="207"/>
        <v>8572</v>
      </c>
      <c r="J553" s="161">
        <f t="shared" si="207"/>
        <v>8572</v>
      </c>
    </row>
    <row r="554" spans="1:10" ht="89.25" x14ac:dyDescent="0.2">
      <c r="A554" s="1"/>
      <c r="B554" s="23"/>
      <c r="C554" s="16" t="s">
        <v>75</v>
      </c>
      <c r="D554" s="16" t="s">
        <v>59</v>
      </c>
      <c r="E554" s="19" t="s">
        <v>46</v>
      </c>
      <c r="F554" s="33"/>
      <c r="G554" s="126" t="s">
        <v>204</v>
      </c>
      <c r="H554" s="86">
        <f t="shared" si="207"/>
        <v>8572</v>
      </c>
      <c r="I554" s="86">
        <f t="shared" si="207"/>
        <v>8572</v>
      </c>
      <c r="J554" s="86">
        <f t="shared" si="207"/>
        <v>8572</v>
      </c>
    </row>
    <row r="555" spans="1:10" ht="39.75" customHeight="1" x14ac:dyDescent="0.2">
      <c r="A555" s="1"/>
      <c r="B555" s="23"/>
      <c r="C555" s="16" t="s">
        <v>75</v>
      </c>
      <c r="D555" s="16" t="s">
        <v>59</v>
      </c>
      <c r="E555" s="46" t="s">
        <v>239</v>
      </c>
      <c r="F555" s="33"/>
      <c r="G555" s="40" t="s">
        <v>237</v>
      </c>
      <c r="H555" s="88">
        <f>H556</f>
        <v>8572</v>
      </c>
      <c r="I555" s="88">
        <f t="shared" si="207"/>
        <v>8572</v>
      </c>
      <c r="J555" s="88">
        <f t="shared" si="207"/>
        <v>8572</v>
      </c>
    </row>
    <row r="556" spans="1:10" ht="76.5" x14ac:dyDescent="0.2">
      <c r="A556" s="1"/>
      <c r="B556" s="23"/>
      <c r="C556" s="16" t="s">
        <v>75</v>
      </c>
      <c r="D556" s="16" t="s">
        <v>59</v>
      </c>
      <c r="E556" s="50" t="s">
        <v>296</v>
      </c>
      <c r="F556" s="19"/>
      <c r="G556" s="75" t="s">
        <v>160</v>
      </c>
      <c r="H556" s="162">
        <f>H557+H558</f>
        <v>8572</v>
      </c>
      <c r="I556" s="162">
        <f>I557+I558</f>
        <v>8572</v>
      </c>
      <c r="J556" s="162">
        <f>J557+J558</f>
        <v>8572</v>
      </c>
    </row>
    <row r="557" spans="1:10" ht="38.25" x14ac:dyDescent="0.2">
      <c r="A557" s="1"/>
      <c r="B557" s="23"/>
      <c r="C557" s="16" t="s">
        <v>75</v>
      </c>
      <c r="D557" s="16" t="s">
        <v>59</v>
      </c>
      <c r="E557" s="50" t="s">
        <v>296</v>
      </c>
      <c r="F557" s="65" t="s">
        <v>119</v>
      </c>
      <c r="G557" s="75" t="s">
        <v>120</v>
      </c>
      <c r="H557" s="162">
        <v>300</v>
      </c>
      <c r="I557" s="162">
        <v>300</v>
      </c>
      <c r="J557" s="162">
        <v>300</v>
      </c>
    </row>
    <row r="558" spans="1:10" ht="38.25" x14ac:dyDescent="0.2">
      <c r="A558" s="1"/>
      <c r="B558" s="23"/>
      <c r="C558" s="16" t="s">
        <v>75</v>
      </c>
      <c r="D558" s="16" t="s">
        <v>59</v>
      </c>
      <c r="E558" s="50" t="s">
        <v>296</v>
      </c>
      <c r="F558" s="65" t="s">
        <v>126</v>
      </c>
      <c r="G558" s="75" t="s">
        <v>125</v>
      </c>
      <c r="H558" s="162">
        <v>8272</v>
      </c>
      <c r="I558" s="162">
        <v>8272</v>
      </c>
      <c r="J558" s="162">
        <v>8272</v>
      </c>
    </row>
    <row r="559" spans="1:10" ht="126" x14ac:dyDescent="0.25">
      <c r="A559" s="3">
        <v>5</v>
      </c>
      <c r="B559" s="73">
        <v>938</v>
      </c>
      <c r="C559" s="13"/>
      <c r="D559" s="13"/>
      <c r="E559" s="13"/>
      <c r="F559" s="13"/>
      <c r="G559" s="118" t="s">
        <v>225</v>
      </c>
      <c r="H559" s="156">
        <f>H560+H566+H601+H639</f>
        <v>182810.8</v>
      </c>
      <c r="I559" s="156">
        <f>I560+I566+I601+I639</f>
        <v>168857.9</v>
      </c>
      <c r="J559" s="156">
        <f>J560+J566+J601+J639</f>
        <v>168857.9</v>
      </c>
    </row>
    <row r="560" spans="1:10" ht="45" x14ac:dyDescent="0.25">
      <c r="A560" s="3"/>
      <c r="B560" s="73"/>
      <c r="C560" s="4" t="s">
        <v>58</v>
      </c>
      <c r="D560" s="3"/>
      <c r="E560" s="3"/>
      <c r="F560" s="3"/>
      <c r="G560" s="43" t="s">
        <v>63</v>
      </c>
      <c r="H560" s="156">
        <f>H561</f>
        <v>80</v>
      </c>
      <c r="I560" s="156">
        <f t="shared" ref="I560:J562" si="208">I561</f>
        <v>80</v>
      </c>
      <c r="J560" s="156">
        <f t="shared" si="208"/>
        <v>80</v>
      </c>
    </row>
    <row r="561" spans="1:10" ht="39" x14ac:dyDescent="0.25">
      <c r="A561" s="3"/>
      <c r="B561" s="73"/>
      <c r="C561" s="26" t="s">
        <v>58</v>
      </c>
      <c r="D561" s="26" t="s">
        <v>86</v>
      </c>
      <c r="E561" s="26"/>
      <c r="F561" s="32"/>
      <c r="G561" s="40" t="s">
        <v>20</v>
      </c>
      <c r="H561" s="160">
        <f>H562</f>
        <v>80</v>
      </c>
      <c r="I561" s="160">
        <f t="shared" si="208"/>
        <v>80</v>
      </c>
      <c r="J561" s="160">
        <f t="shared" si="208"/>
        <v>80</v>
      </c>
    </row>
    <row r="562" spans="1:10" s="35" customFormat="1" ht="102" x14ac:dyDescent="0.25">
      <c r="A562" s="3"/>
      <c r="B562" s="73"/>
      <c r="C562" s="57" t="s">
        <v>58</v>
      </c>
      <c r="D562" s="57" t="s">
        <v>86</v>
      </c>
      <c r="E562" s="57" t="s">
        <v>106</v>
      </c>
      <c r="F562" s="16"/>
      <c r="G562" s="126" t="s">
        <v>211</v>
      </c>
      <c r="H562" s="86">
        <f>H563</f>
        <v>80</v>
      </c>
      <c r="I562" s="86">
        <f t="shared" si="208"/>
        <v>80</v>
      </c>
      <c r="J562" s="86">
        <f t="shared" si="208"/>
        <v>80</v>
      </c>
    </row>
    <row r="563" spans="1:10" s="35" customFormat="1" ht="23.25" customHeight="1" x14ac:dyDescent="0.25">
      <c r="A563" s="3"/>
      <c r="B563" s="73"/>
      <c r="C563" s="19" t="s">
        <v>58</v>
      </c>
      <c r="D563" s="19" t="s">
        <v>86</v>
      </c>
      <c r="E563" s="46" t="s">
        <v>306</v>
      </c>
      <c r="F563" s="16"/>
      <c r="G563" s="136" t="s">
        <v>307</v>
      </c>
      <c r="H563" s="163">
        <f>H564</f>
        <v>80</v>
      </c>
      <c r="I563" s="163">
        <f t="shared" ref="I563:J563" si="209">I564</f>
        <v>80</v>
      </c>
      <c r="J563" s="163">
        <f t="shared" si="209"/>
        <v>80</v>
      </c>
    </row>
    <row r="564" spans="1:10" s="35" customFormat="1" ht="63.75" customHeight="1" x14ac:dyDescent="0.25">
      <c r="A564" s="3"/>
      <c r="B564" s="73"/>
      <c r="C564" s="19" t="s">
        <v>58</v>
      </c>
      <c r="D564" s="19" t="s">
        <v>86</v>
      </c>
      <c r="E564" s="19" t="s">
        <v>305</v>
      </c>
      <c r="F564" s="16"/>
      <c r="G564" s="75" t="s">
        <v>377</v>
      </c>
      <c r="H564" s="82">
        <f t="shared" ref="H564:J564" si="210">H565</f>
        <v>80</v>
      </c>
      <c r="I564" s="82">
        <f t="shared" si="210"/>
        <v>80</v>
      </c>
      <c r="J564" s="82">
        <f t="shared" si="210"/>
        <v>80</v>
      </c>
    </row>
    <row r="565" spans="1:10" s="35" customFormat="1" ht="25.5" x14ac:dyDescent="0.25">
      <c r="A565" s="3"/>
      <c r="B565" s="73"/>
      <c r="C565" s="19" t="s">
        <v>58</v>
      </c>
      <c r="D565" s="19" t="s">
        <v>86</v>
      </c>
      <c r="E565" s="19" t="s">
        <v>305</v>
      </c>
      <c r="F565" s="65" t="s">
        <v>42</v>
      </c>
      <c r="G565" s="48" t="s">
        <v>95</v>
      </c>
      <c r="H565" s="82">
        <v>80</v>
      </c>
      <c r="I565" s="82">
        <v>80</v>
      </c>
      <c r="J565" s="82">
        <v>80</v>
      </c>
    </row>
    <row r="566" spans="1:10" s="35" customFormat="1" ht="15.75" x14ac:dyDescent="0.25">
      <c r="A566" s="3"/>
      <c r="B566" s="73"/>
      <c r="C566" s="4" t="s">
        <v>69</v>
      </c>
      <c r="D566" s="3"/>
      <c r="E566" s="3"/>
      <c r="F566" s="3"/>
      <c r="G566" s="43" t="s">
        <v>70</v>
      </c>
      <c r="H566" s="156">
        <f>H567+H582</f>
        <v>51175.7</v>
      </c>
      <c r="I566" s="156">
        <f>I567+I582</f>
        <v>47840.1</v>
      </c>
      <c r="J566" s="156">
        <f>J567+J582</f>
        <v>47840.1</v>
      </c>
    </row>
    <row r="567" spans="1:10" s="35" customFormat="1" ht="14.25" x14ac:dyDescent="0.2">
      <c r="A567" s="25"/>
      <c r="B567" s="56"/>
      <c r="C567" s="33" t="s">
        <v>69</v>
      </c>
      <c r="D567" s="33" t="s">
        <v>58</v>
      </c>
      <c r="E567" s="33"/>
      <c r="F567" s="33"/>
      <c r="G567" s="39" t="s">
        <v>109</v>
      </c>
      <c r="H567" s="161">
        <f>H568</f>
        <v>27570.7</v>
      </c>
      <c r="I567" s="161">
        <f t="shared" ref="I567:J567" si="211">I568</f>
        <v>26658.2</v>
      </c>
      <c r="J567" s="161">
        <f t="shared" si="211"/>
        <v>26658.2</v>
      </c>
    </row>
    <row r="568" spans="1:10" s="35" customFormat="1" ht="117.75" customHeight="1" x14ac:dyDescent="0.25">
      <c r="A568" s="25"/>
      <c r="B568" s="56"/>
      <c r="C568" s="16" t="s">
        <v>69</v>
      </c>
      <c r="D568" s="65" t="s">
        <v>58</v>
      </c>
      <c r="E568" s="57" t="s">
        <v>38</v>
      </c>
      <c r="F568" s="33"/>
      <c r="G568" s="140" t="s">
        <v>205</v>
      </c>
      <c r="H568" s="166">
        <f>H569+H572+H575</f>
        <v>27570.7</v>
      </c>
      <c r="I568" s="166">
        <f t="shared" ref="I568:J568" si="212">I569+I572+I575</f>
        <v>26658.2</v>
      </c>
      <c r="J568" s="166">
        <f t="shared" si="212"/>
        <v>26658.2</v>
      </c>
    </row>
    <row r="569" spans="1:10" s="35" customFormat="1" ht="63.75" x14ac:dyDescent="0.2">
      <c r="A569" s="25"/>
      <c r="B569" s="56"/>
      <c r="C569" s="16" t="s">
        <v>69</v>
      </c>
      <c r="D569" s="65" t="s">
        <v>58</v>
      </c>
      <c r="E569" s="59">
        <v>220100000</v>
      </c>
      <c r="F569" s="19"/>
      <c r="G569" s="51" t="s">
        <v>444</v>
      </c>
      <c r="H569" s="161">
        <f>H570</f>
        <v>272.5</v>
      </c>
      <c r="I569" s="161">
        <f t="shared" ref="I569:J569" si="213">I570</f>
        <v>0</v>
      </c>
      <c r="J569" s="161">
        <f t="shared" si="213"/>
        <v>0</v>
      </c>
    </row>
    <row r="570" spans="1:10" s="35" customFormat="1" ht="38.25" x14ac:dyDescent="0.2">
      <c r="A570" s="25"/>
      <c r="B570" s="56"/>
      <c r="C570" s="16" t="s">
        <v>69</v>
      </c>
      <c r="D570" s="65" t="s">
        <v>58</v>
      </c>
      <c r="E570" s="58" t="s">
        <v>561</v>
      </c>
      <c r="F570" s="33"/>
      <c r="G570" s="128" t="s">
        <v>568</v>
      </c>
      <c r="H570" s="162">
        <f>H571</f>
        <v>272.5</v>
      </c>
      <c r="I570" s="162">
        <f t="shared" ref="I570:J570" si="214">I571</f>
        <v>0</v>
      </c>
      <c r="J570" s="162">
        <f t="shared" si="214"/>
        <v>0</v>
      </c>
    </row>
    <row r="571" spans="1:10" s="35" customFormat="1" ht="14.25" x14ac:dyDescent="0.2">
      <c r="A571" s="25"/>
      <c r="B571" s="56"/>
      <c r="C571" s="16" t="s">
        <v>69</v>
      </c>
      <c r="D571" s="65" t="s">
        <v>58</v>
      </c>
      <c r="E571" s="58" t="s">
        <v>561</v>
      </c>
      <c r="F571" s="19" t="s">
        <v>122</v>
      </c>
      <c r="G571" s="75" t="s">
        <v>121</v>
      </c>
      <c r="H571" s="162">
        <f>27.2+245.3</f>
        <v>272.5</v>
      </c>
      <c r="I571" s="168">
        <v>0</v>
      </c>
      <c r="J571" s="168">
        <v>0</v>
      </c>
    </row>
    <row r="572" spans="1:10" s="35" customFormat="1" ht="87" customHeight="1" x14ac:dyDescent="0.2">
      <c r="A572" s="25"/>
      <c r="B572" s="56"/>
      <c r="C572" s="16" t="s">
        <v>69</v>
      </c>
      <c r="D572" s="65" t="s">
        <v>58</v>
      </c>
      <c r="E572" s="46" t="s">
        <v>463</v>
      </c>
      <c r="F572" s="33"/>
      <c r="G572" s="42" t="s">
        <v>266</v>
      </c>
      <c r="H572" s="163">
        <f>H573</f>
        <v>10558.2</v>
      </c>
      <c r="I572" s="163">
        <f t="shared" ref="I572:J572" si="215">I573</f>
        <v>10558.2</v>
      </c>
      <c r="J572" s="163">
        <f t="shared" si="215"/>
        <v>10558.2</v>
      </c>
    </row>
    <row r="573" spans="1:10" ht="56.45" customHeight="1" x14ac:dyDescent="0.2">
      <c r="A573" s="1"/>
      <c r="B573" s="23"/>
      <c r="C573" s="16" t="s">
        <v>69</v>
      </c>
      <c r="D573" s="65" t="s">
        <v>58</v>
      </c>
      <c r="E573" s="58" t="s">
        <v>462</v>
      </c>
      <c r="F573" s="19"/>
      <c r="G573" s="75" t="s">
        <v>461</v>
      </c>
      <c r="H573" s="113">
        <f>H574</f>
        <v>10558.2</v>
      </c>
      <c r="I573" s="113">
        <f>I574</f>
        <v>10558.2</v>
      </c>
      <c r="J573" s="113">
        <f>J574</f>
        <v>10558.2</v>
      </c>
    </row>
    <row r="574" spans="1:10" x14ac:dyDescent="0.2">
      <c r="A574" s="1"/>
      <c r="B574" s="23"/>
      <c r="C574" s="16" t="s">
        <v>69</v>
      </c>
      <c r="D574" s="65" t="s">
        <v>58</v>
      </c>
      <c r="E574" s="58" t="s">
        <v>462</v>
      </c>
      <c r="F574" s="19" t="s">
        <v>122</v>
      </c>
      <c r="G574" s="75" t="s">
        <v>121</v>
      </c>
      <c r="H574" s="167">
        <v>10558.2</v>
      </c>
      <c r="I574" s="167">
        <v>10558.2</v>
      </c>
      <c r="J574" s="167">
        <v>10558.2</v>
      </c>
    </row>
    <row r="575" spans="1:10" ht="54" customHeight="1" x14ac:dyDescent="0.2">
      <c r="A575" s="1"/>
      <c r="B575" s="23"/>
      <c r="C575" s="16" t="s">
        <v>69</v>
      </c>
      <c r="D575" s="65" t="s">
        <v>58</v>
      </c>
      <c r="E575" s="59">
        <v>250200000</v>
      </c>
      <c r="F575" s="19"/>
      <c r="G575" s="51" t="s">
        <v>464</v>
      </c>
      <c r="H575" s="88">
        <f>H576+H578+H580</f>
        <v>16740</v>
      </c>
      <c r="I575" s="88">
        <f t="shared" ref="I575:J575" si="216">I576+I578+I580</f>
        <v>16100</v>
      </c>
      <c r="J575" s="88">
        <f t="shared" si="216"/>
        <v>16100</v>
      </c>
    </row>
    <row r="576" spans="1:10" ht="27" customHeight="1" x14ac:dyDescent="0.2">
      <c r="A576" s="1"/>
      <c r="B576" s="23"/>
      <c r="C576" s="16" t="s">
        <v>69</v>
      </c>
      <c r="D576" s="65" t="s">
        <v>58</v>
      </c>
      <c r="E576" s="58">
        <v>250221100</v>
      </c>
      <c r="F576" s="16"/>
      <c r="G576" s="76" t="s">
        <v>111</v>
      </c>
      <c r="H576" s="113">
        <f>H577</f>
        <v>16100</v>
      </c>
      <c r="I576" s="113">
        <f>I577</f>
        <v>16100</v>
      </c>
      <c r="J576" s="113">
        <f>J577</f>
        <v>16100</v>
      </c>
    </row>
    <row r="577" spans="1:10" x14ac:dyDescent="0.2">
      <c r="A577" s="1"/>
      <c r="B577" s="23"/>
      <c r="C577" s="16" t="s">
        <v>69</v>
      </c>
      <c r="D577" s="65" t="s">
        <v>58</v>
      </c>
      <c r="E577" s="58">
        <v>250221100</v>
      </c>
      <c r="F577" s="19" t="s">
        <v>122</v>
      </c>
      <c r="G577" s="75" t="s">
        <v>121</v>
      </c>
      <c r="H577" s="113">
        <v>16100</v>
      </c>
      <c r="I577" s="113">
        <v>16100</v>
      </c>
      <c r="J577" s="113">
        <v>16100</v>
      </c>
    </row>
    <row r="578" spans="1:10" ht="67.150000000000006" customHeight="1" x14ac:dyDescent="0.2">
      <c r="A578" s="1"/>
      <c r="B578" s="23"/>
      <c r="C578" s="16" t="s">
        <v>69</v>
      </c>
      <c r="D578" s="65" t="s">
        <v>58</v>
      </c>
      <c r="E578" s="96" t="s">
        <v>465</v>
      </c>
      <c r="F578" s="19"/>
      <c r="G578" s="47" t="s">
        <v>201</v>
      </c>
      <c r="H578" s="113">
        <f>H579</f>
        <v>580</v>
      </c>
      <c r="I578" s="113">
        <f t="shared" ref="I578:J578" si="217">I579</f>
        <v>0</v>
      </c>
      <c r="J578" s="113">
        <f t="shared" si="217"/>
        <v>0</v>
      </c>
    </row>
    <row r="579" spans="1:10" x14ac:dyDescent="0.2">
      <c r="A579" s="1"/>
      <c r="B579" s="23"/>
      <c r="C579" s="16" t="s">
        <v>69</v>
      </c>
      <c r="D579" s="65" t="s">
        <v>58</v>
      </c>
      <c r="E579" s="96" t="s">
        <v>465</v>
      </c>
      <c r="F579" s="19" t="s">
        <v>122</v>
      </c>
      <c r="G579" s="75" t="s">
        <v>121</v>
      </c>
      <c r="H579" s="113">
        <v>580</v>
      </c>
      <c r="I579" s="113">
        <v>0</v>
      </c>
      <c r="J579" s="113">
        <v>0</v>
      </c>
    </row>
    <row r="580" spans="1:10" ht="51" x14ac:dyDescent="0.25">
      <c r="A580" s="1"/>
      <c r="B580" s="23"/>
      <c r="C580" s="16" t="s">
        <v>69</v>
      </c>
      <c r="D580" s="65" t="s">
        <v>58</v>
      </c>
      <c r="E580" s="175" t="s">
        <v>555</v>
      </c>
      <c r="F580" s="19"/>
      <c r="G580" s="75" t="s">
        <v>552</v>
      </c>
      <c r="H580" s="113">
        <f>H581</f>
        <v>60</v>
      </c>
      <c r="I580" s="113">
        <f t="shared" ref="I580:J580" si="218">I581</f>
        <v>0</v>
      </c>
      <c r="J580" s="113">
        <f t="shared" si="218"/>
        <v>0</v>
      </c>
    </row>
    <row r="581" spans="1:10" ht="15.75" x14ac:dyDescent="0.25">
      <c r="A581" s="1"/>
      <c r="B581" s="23"/>
      <c r="C581" s="16" t="s">
        <v>69</v>
      </c>
      <c r="D581" s="65" t="s">
        <v>58</v>
      </c>
      <c r="E581" s="175" t="s">
        <v>555</v>
      </c>
      <c r="F581" s="19" t="s">
        <v>122</v>
      </c>
      <c r="G581" s="75" t="s">
        <v>121</v>
      </c>
      <c r="H581" s="113">
        <v>60</v>
      </c>
      <c r="I581" s="113">
        <v>0</v>
      </c>
      <c r="J581" s="113">
        <v>0</v>
      </c>
    </row>
    <row r="582" spans="1:10" s="35" customFormat="1" ht="14.25" x14ac:dyDescent="0.2">
      <c r="A582" s="25"/>
      <c r="B582" s="56"/>
      <c r="C582" s="33" t="s">
        <v>69</v>
      </c>
      <c r="D582" s="33" t="s">
        <v>69</v>
      </c>
      <c r="E582" s="33"/>
      <c r="F582" s="33"/>
      <c r="G582" s="40" t="s">
        <v>108</v>
      </c>
      <c r="H582" s="161">
        <f>H583+H593</f>
        <v>23604.999999999996</v>
      </c>
      <c r="I582" s="161">
        <f>I583+I593</f>
        <v>21181.899999999998</v>
      </c>
      <c r="J582" s="161">
        <f>J583+J593</f>
        <v>21181.899999999998</v>
      </c>
    </row>
    <row r="583" spans="1:10" ht="89.25" x14ac:dyDescent="0.25">
      <c r="A583" s="25"/>
      <c r="B583" s="56"/>
      <c r="C583" s="16" t="s">
        <v>69</v>
      </c>
      <c r="D583" s="16" t="s">
        <v>69</v>
      </c>
      <c r="E583" s="57" t="s">
        <v>38</v>
      </c>
      <c r="F583" s="33"/>
      <c r="G583" s="115" t="s">
        <v>205</v>
      </c>
      <c r="H583" s="166">
        <f>H584</f>
        <v>23502.999999999996</v>
      </c>
      <c r="I583" s="166">
        <f t="shared" ref="I583:J583" si="219">I584</f>
        <v>21079.899999999998</v>
      </c>
      <c r="J583" s="166">
        <f t="shared" si="219"/>
        <v>21079.899999999998</v>
      </c>
    </row>
    <row r="584" spans="1:10" ht="39.6" customHeight="1" x14ac:dyDescent="0.2">
      <c r="A584" s="1"/>
      <c r="B584" s="23"/>
      <c r="C584" s="16" t="s">
        <v>69</v>
      </c>
      <c r="D584" s="16" t="s">
        <v>69</v>
      </c>
      <c r="E584" s="46" t="s">
        <v>472</v>
      </c>
      <c r="F584" s="19"/>
      <c r="G584" s="42" t="s">
        <v>471</v>
      </c>
      <c r="H584" s="82">
        <f>H585+H587+H589+H591</f>
        <v>23502.999999999996</v>
      </c>
      <c r="I584" s="82">
        <f t="shared" ref="I584:J584" si="220">I585+I587+I589</f>
        <v>21079.899999999998</v>
      </c>
      <c r="J584" s="82">
        <f t="shared" si="220"/>
        <v>21079.899999999998</v>
      </c>
    </row>
    <row r="585" spans="1:10" ht="25.5" x14ac:dyDescent="0.2">
      <c r="A585" s="1"/>
      <c r="B585" s="23"/>
      <c r="C585" s="16" t="s">
        <v>69</v>
      </c>
      <c r="D585" s="16" t="s">
        <v>69</v>
      </c>
      <c r="E585" s="97" t="s">
        <v>473</v>
      </c>
      <c r="F585" s="16"/>
      <c r="G585" s="75" t="s">
        <v>112</v>
      </c>
      <c r="H585" s="82">
        <f>H586</f>
        <v>475.3</v>
      </c>
      <c r="I585" s="82">
        <f>I586</f>
        <v>475.3</v>
      </c>
      <c r="J585" s="82">
        <f>J586</f>
        <v>475.3</v>
      </c>
    </row>
    <row r="586" spans="1:10" ht="38.25" x14ac:dyDescent="0.2">
      <c r="A586" s="1"/>
      <c r="B586" s="23"/>
      <c r="C586" s="16" t="s">
        <v>69</v>
      </c>
      <c r="D586" s="16" t="s">
        <v>69</v>
      </c>
      <c r="E586" s="97" t="s">
        <v>473</v>
      </c>
      <c r="F586" s="65" t="s">
        <v>119</v>
      </c>
      <c r="G586" s="75" t="s">
        <v>120</v>
      </c>
      <c r="H586" s="82">
        <v>475.3</v>
      </c>
      <c r="I586" s="82">
        <v>475.3</v>
      </c>
      <c r="J586" s="82">
        <v>475.3</v>
      </c>
    </row>
    <row r="587" spans="1:10" ht="45" customHeight="1" x14ac:dyDescent="0.2">
      <c r="A587" s="1"/>
      <c r="B587" s="23"/>
      <c r="C587" s="16" t="s">
        <v>69</v>
      </c>
      <c r="D587" s="16" t="s">
        <v>69</v>
      </c>
      <c r="E587" s="58">
        <v>250421100</v>
      </c>
      <c r="F587" s="16"/>
      <c r="G587" s="75" t="s">
        <v>474</v>
      </c>
      <c r="H587" s="82">
        <f t="shared" ref="H587:J587" si="221">H588</f>
        <v>20604.599999999999</v>
      </c>
      <c r="I587" s="82">
        <f t="shared" si="221"/>
        <v>20604.599999999999</v>
      </c>
      <c r="J587" s="82">
        <f t="shared" si="221"/>
        <v>20604.599999999999</v>
      </c>
    </row>
    <row r="588" spans="1:10" x14ac:dyDescent="0.2">
      <c r="A588" s="1"/>
      <c r="B588" s="23"/>
      <c r="C588" s="16" t="s">
        <v>69</v>
      </c>
      <c r="D588" s="16" t="s">
        <v>69</v>
      </c>
      <c r="E588" s="58">
        <v>250421100</v>
      </c>
      <c r="F588" s="65" t="s">
        <v>122</v>
      </c>
      <c r="G588" s="75" t="s">
        <v>121</v>
      </c>
      <c r="H588" s="82">
        <v>20604.599999999999</v>
      </c>
      <c r="I588" s="82">
        <v>20604.599999999999</v>
      </c>
      <c r="J588" s="82">
        <v>20604.599999999999</v>
      </c>
    </row>
    <row r="589" spans="1:10" ht="57" customHeight="1" x14ac:dyDescent="0.2">
      <c r="A589" s="1"/>
      <c r="B589" s="23"/>
      <c r="C589" s="16" t="s">
        <v>69</v>
      </c>
      <c r="D589" s="16" t="s">
        <v>69</v>
      </c>
      <c r="E589" s="58">
        <v>250421210</v>
      </c>
      <c r="F589" s="65"/>
      <c r="G589" s="75" t="s">
        <v>475</v>
      </c>
      <c r="H589" s="82">
        <f t="shared" ref="H589:J589" si="222">H590</f>
        <v>1923.1</v>
      </c>
      <c r="I589" s="82">
        <f t="shared" si="222"/>
        <v>0</v>
      </c>
      <c r="J589" s="82">
        <f t="shared" si="222"/>
        <v>0</v>
      </c>
    </row>
    <row r="590" spans="1:10" x14ac:dyDescent="0.2">
      <c r="A590" s="1"/>
      <c r="B590" s="23"/>
      <c r="C590" s="65" t="s">
        <v>69</v>
      </c>
      <c r="D590" s="65" t="s">
        <v>69</v>
      </c>
      <c r="E590" s="58">
        <v>250421210</v>
      </c>
      <c r="F590" s="19" t="s">
        <v>122</v>
      </c>
      <c r="G590" s="75" t="s">
        <v>121</v>
      </c>
      <c r="H590" s="82">
        <v>1923.1</v>
      </c>
      <c r="I590" s="82">
        <v>0</v>
      </c>
      <c r="J590" s="82">
        <v>0</v>
      </c>
    </row>
    <row r="591" spans="1:10" ht="53.45" customHeight="1" x14ac:dyDescent="0.2">
      <c r="A591" s="1"/>
      <c r="B591" s="23"/>
      <c r="C591" s="16" t="s">
        <v>69</v>
      </c>
      <c r="D591" s="16" t="s">
        <v>69</v>
      </c>
      <c r="E591" s="58">
        <v>250421220</v>
      </c>
      <c r="F591" s="19"/>
      <c r="G591" s="75" t="s">
        <v>476</v>
      </c>
      <c r="H591" s="82">
        <f>H592</f>
        <v>500</v>
      </c>
      <c r="I591" s="82">
        <f t="shared" ref="I591:J591" si="223">I592</f>
        <v>0</v>
      </c>
      <c r="J591" s="82">
        <f t="shared" si="223"/>
        <v>0</v>
      </c>
    </row>
    <row r="592" spans="1:10" x14ac:dyDescent="0.2">
      <c r="A592" s="1"/>
      <c r="B592" s="23"/>
      <c r="C592" s="65" t="s">
        <v>69</v>
      </c>
      <c r="D592" s="65" t="s">
        <v>69</v>
      </c>
      <c r="E592" s="58">
        <v>250421220</v>
      </c>
      <c r="F592" s="19" t="s">
        <v>122</v>
      </c>
      <c r="G592" s="75" t="s">
        <v>121</v>
      </c>
      <c r="H592" s="82">
        <v>500</v>
      </c>
      <c r="I592" s="82">
        <v>0</v>
      </c>
      <c r="J592" s="82">
        <v>0</v>
      </c>
    </row>
    <row r="593" spans="1:10" ht="102" x14ac:dyDescent="0.2">
      <c r="A593" s="1"/>
      <c r="B593" s="23"/>
      <c r="C593" s="5" t="s">
        <v>69</v>
      </c>
      <c r="D593" s="5" t="s">
        <v>69</v>
      </c>
      <c r="E593" s="57" t="s">
        <v>106</v>
      </c>
      <c r="F593" s="16"/>
      <c r="G593" s="126" t="s">
        <v>211</v>
      </c>
      <c r="H593" s="86">
        <f>H594</f>
        <v>102</v>
      </c>
      <c r="I593" s="86">
        <f t="shared" ref="I593:J593" si="224">I594</f>
        <v>102</v>
      </c>
      <c r="J593" s="86">
        <f t="shared" si="224"/>
        <v>102</v>
      </c>
    </row>
    <row r="594" spans="1:10" ht="20.25" customHeight="1" x14ac:dyDescent="0.2">
      <c r="A594" s="1"/>
      <c r="B594" s="23"/>
      <c r="C594" s="41" t="s">
        <v>69</v>
      </c>
      <c r="D594" s="41" t="s">
        <v>69</v>
      </c>
      <c r="E594" s="46" t="s">
        <v>306</v>
      </c>
      <c r="F594" s="16"/>
      <c r="G594" s="136" t="s">
        <v>307</v>
      </c>
      <c r="H594" s="88">
        <f>H595+H597+H599</f>
        <v>102</v>
      </c>
      <c r="I594" s="88">
        <f t="shared" ref="I594:J594" si="225">I595+I597+I599</f>
        <v>102</v>
      </c>
      <c r="J594" s="88">
        <f t="shared" si="225"/>
        <v>102</v>
      </c>
    </row>
    <row r="595" spans="1:10" ht="38.25" x14ac:dyDescent="0.25">
      <c r="A595" s="1"/>
      <c r="B595" s="23"/>
      <c r="C595" s="16" t="s">
        <v>69</v>
      </c>
      <c r="D595" s="16" t="s">
        <v>69</v>
      </c>
      <c r="E595" s="134" t="s">
        <v>308</v>
      </c>
      <c r="F595" s="16"/>
      <c r="G595" s="75" t="s">
        <v>309</v>
      </c>
      <c r="H595" s="82">
        <f>H596</f>
        <v>7</v>
      </c>
      <c r="I595" s="82">
        <f>I596</f>
        <v>7</v>
      </c>
      <c r="J595" s="82">
        <f>J596</f>
        <v>7</v>
      </c>
    </row>
    <row r="596" spans="1:10" ht="38.25" x14ac:dyDescent="0.25">
      <c r="A596" s="1"/>
      <c r="B596" s="23"/>
      <c r="C596" s="16" t="s">
        <v>69</v>
      </c>
      <c r="D596" s="16" t="s">
        <v>69</v>
      </c>
      <c r="E596" s="134" t="s">
        <v>308</v>
      </c>
      <c r="F596" s="65" t="s">
        <v>119</v>
      </c>
      <c r="G596" s="75" t="s">
        <v>120</v>
      </c>
      <c r="H596" s="82">
        <v>7</v>
      </c>
      <c r="I596" s="82">
        <v>7</v>
      </c>
      <c r="J596" s="82">
        <v>7</v>
      </c>
    </row>
    <row r="597" spans="1:10" x14ac:dyDescent="0.2">
      <c r="A597" s="1"/>
      <c r="B597" s="23"/>
      <c r="C597" s="16" t="s">
        <v>69</v>
      </c>
      <c r="D597" s="16" t="s">
        <v>69</v>
      </c>
      <c r="E597" s="58">
        <v>850123270</v>
      </c>
      <c r="F597" s="16"/>
      <c r="G597" s="75" t="s">
        <v>113</v>
      </c>
      <c r="H597" s="82">
        <f>H598</f>
        <v>45</v>
      </c>
      <c r="I597" s="82">
        <f>I598</f>
        <v>45</v>
      </c>
      <c r="J597" s="82">
        <f>J598</f>
        <v>45</v>
      </c>
    </row>
    <row r="598" spans="1:10" ht="38.25" x14ac:dyDescent="0.2">
      <c r="A598" s="1"/>
      <c r="B598" s="23"/>
      <c r="C598" s="16" t="s">
        <v>69</v>
      </c>
      <c r="D598" s="16" t="s">
        <v>69</v>
      </c>
      <c r="E598" s="58">
        <v>850123270</v>
      </c>
      <c r="F598" s="65" t="s">
        <v>119</v>
      </c>
      <c r="G598" s="75" t="s">
        <v>120</v>
      </c>
      <c r="H598" s="82">
        <v>45</v>
      </c>
      <c r="I598" s="82">
        <v>45</v>
      </c>
      <c r="J598" s="82">
        <v>45</v>
      </c>
    </row>
    <row r="599" spans="1:10" ht="26.25" customHeight="1" x14ac:dyDescent="0.2">
      <c r="A599" s="1"/>
      <c r="B599" s="23"/>
      <c r="C599" s="16" t="s">
        <v>69</v>
      </c>
      <c r="D599" s="16" t="s">
        <v>69</v>
      </c>
      <c r="E599" s="58">
        <v>850123300</v>
      </c>
      <c r="F599" s="65"/>
      <c r="G599" s="106" t="s">
        <v>302</v>
      </c>
      <c r="H599" s="82">
        <f>H600</f>
        <v>50</v>
      </c>
      <c r="I599" s="82">
        <f t="shared" ref="I599:J599" si="226">I600</f>
        <v>50</v>
      </c>
      <c r="J599" s="82">
        <f t="shared" si="226"/>
        <v>50</v>
      </c>
    </row>
    <row r="600" spans="1:10" ht="38.25" x14ac:dyDescent="0.2">
      <c r="A600" s="1"/>
      <c r="B600" s="23"/>
      <c r="C600" s="16" t="s">
        <v>69</v>
      </c>
      <c r="D600" s="16" t="s">
        <v>69</v>
      </c>
      <c r="E600" s="58">
        <v>850123300</v>
      </c>
      <c r="F600" s="65" t="s">
        <v>119</v>
      </c>
      <c r="G600" s="75" t="s">
        <v>120</v>
      </c>
      <c r="H600" s="82">
        <v>50</v>
      </c>
      <c r="I600" s="82">
        <v>50</v>
      </c>
      <c r="J600" s="82">
        <v>50</v>
      </c>
    </row>
    <row r="601" spans="1:10" ht="15.75" x14ac:dyDescent="0.25">
      <c r="A601" s="3"/>
      <c r="B601" s="73"/>
      <c r="C601" s="4" t="s">
        <v>66</v>
      </c>
      <c r="D601" s="3"/>
      <c r="E601" s="3"/>
      <c r="F601" s="3"/>
      <c r="G601" s="43" t="s">
        <v>18</v>
      </c>
      <c r="H601" s="156">
        <f>H602+H630</f>
        <v>130693.59999999999</v>
      </c>
      <c r="I601" s="156">
        <f>I602+I630</f>
        <v>120076.3</v>
      </c>
      <c r="J601" s="156">
        <f>J602+J630</f>
        <v>120076.3</v>
      </c>
    </row>
    <row r="602" spans="1:10" ht="14.25" x14ac:dyDescent="0.2">
      <c r="A602" s="25"/>
      <c r="B602" s="56"/>
      <c r="C602" s="33" t="s">
        <v>66</v>
      </c>
      <c r="D602" s="33" t="s">
        <v>53</v>
      </c>
      <c r="E602" s="33"/>
      <c r="F602" s="33"/>
      <c r="G602" s="39" t="s">
        <v>71</v>
      </c>
      <c r="H602" s="161">
        <f>H603+H625</f>
        <v>125193.9</v>
      </c>
      <c r="I602" s="161">
        <f t="shared" ref="I602:J602" si="227">I603+I625</f>
        <v>114576.6</v>
      </c>
      <c r="J602" s="161">
        <f t="shared" si="227"/>
        <v>114576.6</v>
      </c>
    </row>
    <row r="603" spans="1:10" ht="89.25" x14ac:dyDescent="0.25">
      <c r="A603" s="25"/>
      <c r="B603" s="56"/>
      <c r="C603" s="16" t="s">
        <v>66</v>
      </c>
      <c r="D603" s="16" t="s">
        <v>53</v>
      </c>
      <c r="E603" s="57" t="s">
        <v>38</v>
      </c>
      <c r="F603" s="33"/>
      <c r="G603" s="115" t="s">
        <v>205</v>
      </c>
      <c r="H603" s="166">
        <f>H604+H608+H613</f>
        <v>124333.9</v>
      </c>
      <c r="I603" s="166">
        <f t="shared" ref="I603:J603" si="228">I604+I608+I613</f>
        <v>114576.6</v>
      </c>
      <c r="J603" s="166">
        <f t="shared" si="228"/>
        <v>114576.6</v>
      </c>
    </row>
    <row r="604" spans="1:10" ht="63.75" x14ac:dyDescent="0.2">
      <c r="A604" s="25"/>
      <c r="B604" s="56"/>
      <c r="C604" s="16" t="s">
        <v>66</v>
      </c>
      <c r="D604" s="16" t="s">
        <v>53</v>
      </c>
      <c r="E604" s="59">
        <v>220100000</v>
      </c>
      <c r="F604" s="19"/>
      <c r="G604" s="51" t="s">
        <v>444</v>
      </c>
      <c r="H604" s="113">
        <f>H605</f>
        <v>55413</v>
      </c>
      <c r="I604" s="113">
        <f t="shared" ref="I604:J604" si="229">I605</f>
        <v>55413</v>
      </c>
      <c r="J604" s="113">
        <f t="shared" si="229"/>
        <v>55413</v>
      </c>
    </row>
    <row r="605" spans="1:10" ht="38.25" x14ac:dyDescent="0.2">
      <c r="A605" s="25"/>
      <c r="B605" s="56"/>
      <c r="C605" s="16" t="s">
        <v>66</v>
      </c>
      <c r="D605" s="16" t="s">
        <v>53</v>
      </c>
      <c r="E605" s="58" t="s">
        <v>446</v>
      </c>
      <c r="F605" s="65"/>
      <c r="G605" s="75" t="s">
        <v>445</v>
      </c>
      <c r="H605" s="113">
        <f>SUM(H606:H607)</f>
        <v>55413</v>
      </c>
      <c r="I605" s="113">
        <f>SUM(I606:I607)</f>
        <v>55413</v>
      </c>
      <c r="J605" s="113">
        <f>SUM(J606:J607)</f>
        <v>55413</v>
      </c>
    </row>
    <row r="606" spans="1:10" ht="25.5" x14ac:dyDescent="0.2">
      <c r="A606" s="25"/>
      <c r="B606" s="56"/>
      <c r="C606" s="16" t="s">
        <v>66</v>
      </c>
      <c r="D606" s="16" t="s">
        <v>53</v>
      </c>
      <c r="E606" s="58" t="s">
        <v>446</v>
      </c>
      <c r="F606" s="65" t="s">
        <v>42</v>
      </c>
      <c r="G606" s="48" t="s">
        <v>95</v>
      </c>
      <c r="H606" s="113">
        <v>16689.900000000001</v>
      </c>
      <c r="I606" s="113">
        <v>16689.900000000001</v>
      </c>
      <c r="J606" s="113">
        <v>16689.900000000001</v>
      </c>
    </row>
    <row r="607" spans="1:10" ht="14.25" x14ac:dyDescent="0.2">
      <c r="A607" s="25"/>
      <c r="B607" s="56"/>
      <c r="C607" s="16" t="s">
        <v>66</v>
      </c>
      <c r="D607" s="16" t="s">
        <v>53</v>
      </c>
      <c r="E607" s="58" t="s">
        <v>446</v>
      </c>
      <c r="F607" s="19" t="s">
        <v>122</v>
      </c>
      <c r="G607" s="75" t="s">
        <v>121</v>
      </c>
      <c r="H607" s="113">
        <v>38723.1</v>
      </c>
      <c r="I607" s="113">
        <v>38723.1</v>
      </c>
      <c r="J607" s="113">
        <v>38723.1</v>
      </c>
    </row>
    <row r="608" spans="1:10" ht="55.15" customHeight="1" x14ac:dyDescent="0.2">
      <c r="A608" s="25"/>
      <c r="B608" s="56"/>
      <c r="C608" s="16" t="s">
        <v>66</v>
      </c>
      <c r="D608" s="16" t="s">
        <v>53</v>
      </c>
      <c r="E608" s="59">
        <v>220300000</v>
      </c>
      <c r="F608" s="33"/>
      <c r="G608" s="129" t="s">
        <v>447</v>
      </c>
      <c r="H608" s="163">
        <f>H609+H611</f>
        <v>972.1</v>
      </c>
      <c r="I608" s="163">
        <f t="shared" ref="I608:J608" si="230">I609+I611</f>
        <v>22.4</v>
      </c>
      <c r="J608" s="163">
        <f t="shared" si="230"/>
        <v>22.4</v>
      </c>
    </row>
    <row r="609" spans="1:10" ht="55.15" customHeight="1" x14ac:dyDescent="0.2">
      <c r="A609" s="25"/>
      <c r="B609" s="56"/>
      <c r="C609" s="16" t="s">
        <v>66</v>
      </c>
      <c r="D609" s="16" t="s">
        <v>53</v>
      </c>
      <c r="E609" s="19" t="s">
        <v>448</v>
      </c>
      <c r="F609" s="33"/>
      <c r="G609" s="128" t="s">
        <v>610</v>
      </c>
      <c r="H609" s="162">
        <f>H610</f>
        <v>873.7</v>
      </c>
      <c r="I609" s="162">
        <f t="shared" ref="I609:J609" si="231">I610</f>
        <v>9</v>
      </c>
      <c r="J609" s="162">
        <f t="shared" si="231"/>
        <v>9</v>
      </c>
    </row>
    <row r="610" spans="1:10" ht="15.75" customHeight="1" x14ac:dyDescent="0.2">
      <c r="A610" s="25"/>
      <c r="B610" s="56"/>
      <c r="C610" s="16" t="s">
        <v>66</v>
      </c>
      <c r="D610" s="16" t="s">
        <v>53</v>
      </c>
      <c r="E610" s="19" t="s">
        <v>448</v>
      </c>
      <c r="F610" s="19" t="s">
        <v>122</v>
      </c>
      <c r="G610" s="75" t="s">
        <v>121</v>
      </c>
      <c r="H610" s="162">
        <f>9+1+863.7</f>
        <v>873.7</v>
      </c>
      <c r="I610" s="162">
        <v>9</v>
      </c>
      <c r="J610" s="162">
        <v>9</v>
      </c>
    </row>
    <row r="611" spans="1:10" ht="37.5" customHeight="1" x14ac:dyDescent="0.2">
      <c r="A611" s="25"/>
      <c r="B611" s="56"/>
      <c r="C611" s="16" t="s">
        <v>66</v>
      </c>
      <c r="D611" s="16" t="s">
        <v>53</v>
      </c>
      <c r="E611" s="19" t="s">
        <v>449</v>
      </c>
      <c r="F611" s="33"/>
      <c r="G611" s="128" t="s">
        <v>450</v>
      </c>
      <c r="H611" s="162">
        <f>H612</f>
        <v>98.4</v>
      </c>
      <c r="I611" s="162">
        <f t="shared" ref="I611:J611" si="232">I612</f>
        <v>13.4</v>
      </c>
      <c r="J611" s="162">
        <f t="shared" si="232"/>
        <v>13.4</v>
      </c>
    </row>
    <row r="612" spans="1:10" ht="39" customHeight="1" x14ac:dyDescent="0.2">
      <c r="A612" s="25"/>
      <c r="B612" s="56"/>
      <c r="C612" s="16" t="s">
        <v>66</v>
      </c>
      <c r="D612" s="16" t="s">
        <v>53</v>
      </c>
      <c r="E612" s="19" t="s">
        <v>449</v>
      </c>
      <c r="F612" s="65" t="s">
        <v>119</v>
      </c>
      <c r="G612" s="75" t="s">
        <v>120</v>
      </c>
      <c r="H612" s="162">
        <f>13.4+85</f>
        <v>98.4</v>
      </c>
      <c r="I612" s="162">
        <v>13.4</v>
      </c>
      <c r="J612" s="162">
        <v>13.4</v>
      </c>
    </row>
    <row r="613" spans="1:10" ht="26.25" customHeight="1" x14ac:dyDescent="0.2">
      <c r="A613" s="25"/>
      <c r="B613" s="56"/>
      <c r="C613" s="16" t="s">
        <v>66</v>
      </c>
      <c r="D613" s="41" t="s">
        <v>53</v>
      </c>
      <c r="E613" s="46" t="s">
        <v>451</v>
      </c>
      <c r="F613" s="33"/>
      <c r="G613" s="42" t="s">
        <v>452</v>
      </c>
      <c r="H613" s="163">
        <f>H614+H617+H619+H621+H623</f>
        <v>67948.800000000003</v>
      </c>
      <c r="I613" s="163">
        <f t="shared" ref="I613:J613" si="233">I614+I617+I619+I621+I623</f>
        <v>59141.200000000004</v>
      </c>
      <c r="J613" s="163">
        <f t="shared" si="233"/>
        <v>59141.200000000004</v>
      </c>
    </row>
    <row r="614" spans="1:10" ht="40.9" customHeight="1" x14ac:dyDescent="0.2">
      <c r="A614" s="1"/>
      <c r="B614" s="23"/>
      <c r="C614" s="16" t="s">
        <v>66</v>
      </c>
      <c r="D614" s="16" t="s">
        <v>53</v>
      </c>
      <c r="E614" s="58">
        <v>250122900</v>
      </c>
      <c r="F614" s="16"/>
      <c r="G614" s="76" t="s">
        <v>453</v>
      </c>
      <c r="H614" s="113">
        <f>H615+H616</f>
        <v>16458.400000000001</v>
      </c>
      <c r="I614" s="113">
        <f t="shared" ref="I614:J614" si="234">I615+I616</f>
        <v>15406.4</v>
      </c>
      <c r="J614" s="113">
        <f t="shared" si="234"/>
        <v>15406.4</v>
      </c>
    </row>
    <row r="615" spans="1:10" ht="25.5" x14ac:dyDescent="0.2">
      <c r="A615" s="1"/>
      <c r="B615" s="23"/>
      <c r="C615" s="16" t="s">
        <v>66</v>
      </c>
      <c r="D615" s="16" t="s">
        <v>53</v>
      </c>
      <c r="E615" s="58">
        <v>250122900</v>
      </c>
      <c r="F615" s="65" t="s">
        <v>42</v>
      </c>
      <c r="G615" s="48" t="s">
        <v>95</v>
      </c>
      <c r="H615" s="113">
        <v>5900.1</v>
      </c>
      <c r="I615" s="113">
        <v>5900.1</v>
      </c>
      <c r="J615" s="113">
        <v>5900.1</v>
      </c>
    </row>
    <row r="616" spans="1:10" ht="38.25" x14ac:dyDescent="0.2">
      <c r="A616" s="1"/>
      <c r="B616" s="23"/>
      <c r="C616" s="16" t="s">
        <v>66</v>
      </c>
      <c r="D616" s="16" t="s">
        <v>53</v>
      </c>
      <c r="E616" s="58">
        <v>250122900</v>
      </c>
      <c r="F616" s="65" t="s">
        <v>119</v>
      </c>
      <c r="G616" s="75" t="s">
        <v>120</v>
      </c>
      <c r="H616" s="113">
        <f>9766.1+792.2</f>
        <v>10558.300000000001</v>
      </c>
      <c r="I616" s="113">
        <v>9506.2999999999993</v>
      </c>
      <c r="J616" s="113">
        <v>9506.2999999999993</v>
      </c>
    </row>
    <row r="617" spans="1:10" ht="53.45" customHeight="1" x14ac:dyDescent="0.2">
      <c r="A617" s="1"/>
      <c r="B617" s="23"/>
      <c r="C617" s="16" t="s">
        <v>66</v>
      </c>
      <c r="D617" s="16" t="s">
        <v>53</v>
      </c>
      <c r="E617" s="58">
        <v>250121100</v>
      </c>
      <c r="F617" s="16"/>
      <c r="G617" s="76" t="s">
        <v>454</v>
      </c>
      <c r="H617" s="113">
        <f>H618</f>
        <v>49164.100000000006</v>
      </c>
      <c r="I617" s="113">
        <f>I618</f>
        <v>43734.8</v>
      </c>
      <c r="J617" s="113">
        <f>J618</f>
        <v>43734.8</v>
      </c>
    </row>
    <row r="618" spans="1:10" x14ac:dyDescent="0.2">
      <c r="A618" s="1"/>
      <c r="B618" s="23"/>
      <c r="C618" s="16" t="s">
        <v>66</v>
      </c>
      <c r="D618" s="16" t="s">
        <v>53</v>
      </c>
      <c r="E618" s="58">
        <v>250121100</v>
      </c>
      <c r="F618" s="19" t="s">
        <v>122</v>
      </c>
      <c r="G618" s="75" t="s">
        <v>121</v>
      </c>
      <c r="H618" s="113">
        <f>43734.8+5429.3</f>
        <v>49164.100000000006</v>
      </c>
      <c r="I618" s="113">
        <v>43734.8</v>
      </c>
      <c r="J618" s="113">
        <v>43734.8</v>
      </c>
    </row>
    <row r="619" spans="1:10" ht="42.75" customHeight="1" x14ac:dyDescent="0.2">
      <c r="A619" s="1"/>
      <c r="B619" s="23"/>
      <c r="C619" s="16" t="s">
        <v>66</v>
      </c>
      <c r="D619" s="16" t="s">
        <v>53</v>
      </c>
      <c r="E619" s="96" t="s">
        <v>455</v>
      </c>
      <c r="F619" s="19"/>
      <c r="G619" s="75" t="s">
        <v>197</v>
      </c>
      <c r="H619" s="113">
        <f>H620</f>
        <v>1120.3</v>
      </c>
      <c r="I619" s="113">
        <f>I620</f>
        <v>0</v>
      </c>
      <c r="J619" s="113">
        <f>J620</f>
        <v>0</v>
      </c>
    </row>
    <row r="620" spans="1:10" x14ac:dyDescent="0.2">
      <c r="A620" s="1"/>
      <c r="B620" s="23"/>
      <c r="C620" s="16" t="s">
        <v>66</v>
      </c>
      <c r="D620" s="16" t="s">
        <v>53</v>
      </c>
      <c r="E620" s="96" t="s">
        <v>455</v>
      </c>
      <c r="F620" s="19" t="s">
        <v>122</v>
      </c>
      <c r="G620" s="75" t="s">
        <v>121</v>
      </c>
      <c r="H620" s="113">
        <v>1120.3</v>
      </c>
      <c r="I620" s="113">
        <v>0</v>
      </c>
      <c r="J620" s="113">
        <v>0</v>
      </c>
    </row>
    <row r="621" spans="1:10" ht="31.9" customHeight="1" x14ac:dyDescent="0.2">
      <c r="A621" s="1"/>
      <c r="B621" s="23"/>
      <c r="C621" s="16" t="s">
        <v>66</v>
      </c>
      <c r="D621" s="16" t="s">
        <v>53</v>
      </c>
      <c r="E621" s="96" t="s">
        <v>457</v>
      </c>
      <c r="F621" s="19"/>
      <c r="G621" s="47" t="s">
        <v>456</v>
      </c>
      <c r="H621" s="113">
        <f>H622</f>
        <v>1036</v>
      </c>
      <c r="I621" s="113">
        <f t="shared" ref="I621:J621" si="235">I622</f>
        <v>0</v>
      </c>
      <c r="J621" s="113">
        <f t="shared" si="235"/>
        <v>0</v>
      </c>
    </row>
    <row r="622" spans="1:10" x14ac:dyDescent="0.2">
      <c r="A622" s="1"/>
      <c r="B622" s="23"/>
      <c r="C622" s="16" t="s">
        <v>66</v>
      </c>
      <c r="D622" s="16" t="s">
        <v>53</v>
      </c>
      <c r="E622" s="96" t="s">
        <v>457</v>
      </c>
      <c r="F622" s="19" t="s">
        <v>122</v>
      </c>
      <c r="G622" s="75" t="s">
        <v>121</v>
      </c>
      <c r="H622" s="113">
        <v>1036</v>
      </c>
      <c r="I622" s="113">
        <v>0</v>
      </c>
      <c r="J622" s="113"/>
    </row>
    <row r="623" spans="1:10" ht="50.25" customHeight="1" x14ac:dyDescent="0.2">
      <c r="A623" s="1"/>
      <c r="B623" s="23"/>
      <c r="C623" s="16" t="s">
        <v>66</v>
      </c>
      <c r="D623" s="16" t="s">
        <v>53</v>
      </c>
      <c r="E623" s="96" t="s">
        <v>554</v>
      </c>
      <c r="F623" s="19"/>
      <c r="G623" s="75" t="s">
        <v>552</v>
      </c>
      <c r="H623" s="113">
        <f>H624</f>
        <v>170</v>
      </c>
      <c r="I623" s="113">
        <f t="shared" ref="I623:J623" si="236">I624</f>
        <v>0</v>
      </c>
      <c r="J623" s="113">
        <f t="shared" si="236"/>
        <v>0</v>
      </c>
    </row>
    <row r="624" spans="1:10" x14ac:dyDescent="0.2">
      <c r="A624" s="1"/>
      <c r="B624" s="23"/>
      <c r="C624" s="16" t="s">
        <v>66</v>
      </c>
      <c r="D624" s="16" t="s">
        <v>53</v>
      </c>
      <c r="E624" s="96" t="s">
        <v>554</v>
      </c>
      <c r="F624" s="19" t="s">
        <v>122</v>
      </c>
      <c r="G624" s="75" t="s">
        <v>121</v>
      </c>
      <c r="H624" s="113">
        <v>170</v>
      </c>
      <c r="I624" s="113">
        <v>0</v>
      </c>
      <c r="J624" s="113">
        <v>0</v>
      </c>
    </row>
    <row r="625" spans="1:10" ht="38.25" x14ac:dyDescent="0.2">
      <c r="A625" s="1"/>
      <c r="B625" s="23"/>
      <c r="C625" s="16" t="s">
        <v>66</v>
      </c>
      <c r="D625" s="16" t="s">
        <v>53</v>
      </c>
      <c r="E625" s="65" t="s">
        <v>22</v>
      </c>
      <c r="F625" s="65"/>
      <c r="G625" s="76" t="s">
        <v>28</v>
      </c>
      <c r="H625" s="182">
        <f>H626+H628</f>
        <v>860</v>
      </c>
      <c r="I625" s="182">
        <f t="shared" ref="I625:J625" si="237">I626</f>
        <v>0</v>
      </c>
      <c r="J625" s="182">
        <f t="shared" si="237"/>
        <v>0</v>
      </c>
    </row>
    <row r="626" spans="1:10" ht="63.75" x14ac:dyDescent="0.2">
      <c r="A626" s="1"/>
      <c r="B626" s="23"/>
      <c r="C626" s="16" t="s">
        <v>66</v>
      </c>
      <c r="D626" s="16" t="s">
        <v>53</v>
      </c>
      <c r="E626" s="65" t="s">
        <v>599</v>
      </c>
      <c r="F626" s="16"/>
      <c r="G626" s="106" t="s">
        <v>606</v>
      </c>
      <c r="H626" s="182">
        <f>SUM(H627:H627)</f>
        <v>490</v>
      </c>
      <c r="I626" s="182">
        <f>SUM(I627:I627)</f>
        <v>0</v>
      </c>
      <c r="J626" s="182">
        <f>SUM(J627:J627)</f>
        <v>0</v>
      </c>
    </row>
    <row r="627" spans="1:10" x14ac:dyDescent="0.2">
      <c r="A627" s="1"/>
      <c r="B627" s="23"/>
      <c r="C627" s="16" t="s">
        <v>66</v>
      </c>
      <c r="D627" s="16" t="s">
        <v>53</v>
      </c>
      <c r="E627" s="65" t="s">
        <v>599</v>
      </c>
      <c r="F627" s="19" t="s">
        <v>122</v>
      </c>
      <c r="G627" s="75" t="s">
        <v>121</v>
      </c>
      <c r="H627" s="37">
        <v>490</v>
      </c>
      <c r="I627" s="37">
        <v>0</v>
      </c>
      <c r="J627" s="37">
        <v>0</v>
      </c>
    </row>
    <row r="628" spans="1:10" ht="51" x14ac:dyDescent="0.2">
      <c r="A628" s="1"/>
      <c r="B628" s="23"/>
      <c r="C628" s="16" t="s">
        <v>66</v>
      </c>
      <c r="D628" s="16" t="s">
        <v>53</v>
      </c>
      <c r="E628" s="65" t="s">
        <v>598</v>
      </c>
      <c r="F628" s="19"/>
      <c r="G628" s="106" t="s">
        <v>607</v>
      </c>
      <c r="H628" s="37">
        <f>H629</f>
        <v>370</v>
      </c>
      <c r="I628" s="37">
        <f t="shared" ref="I628:J628" si="238">I629</f>
        <v>0</v>
      </c>
      <c r="J628" s="37">
        <f t="shared" si="238"/>
        <v>0</v>
      </c>
    </row>
    <row r="629" spans="1:10" ht="38.25" x14ac:dyDescent="0.2">
      <c r="A629" s="1"/>
      <c r="B629" s="23"/>
      <c r="C629" s="16" t="s">
        <v>66</v>
      </c>
      <c r="D629" s="16" t="s">
        <v>53</v>
      </c>
      <c r="E629" s="65" t="s">
        <v>598</v>
      </c>
      <c r="F629" s="65" t="s">
        <v>119</v>
      </c>
      <c r="G629" s="75" t="s">
        <v>120</v>
      </c>
      <c r="H629" s="37">
        <v>370</v>
      </c>
      <c r="I629" s="37">
        <v>0</v>
      </c>
      <c r="J629" s="37">
        <v>0</v>
      </c>
    </row>
    <row r="630" spans="1:10" ht="25.5" x14ac:dyDescent="0.2">
      <c r="A630" s="25"/>
      <c r="B630" s="56"/>
      <c r="C630" s="33" t="s">
        <v>66</v>
      </c>
      <c r="D630" s="33" t="s">
        <v>59</v>
      </c>
      <c r="E630" s="33"/>
      <c r="F630" s="33"/>
      <c r="G630" s="40" t="s">
        <v>5</v>
      </c>
      <c r="H630" s="163">
        <f>H631</f>
        <v>5499.7</v>
      </c>
      <c r="I630" s="163">
        <f t="shared" ref="I630:J630" si="239">I631</f>
        <v>5499.7</v>
      </c>
      <c r="J630" s="163">
        <f t="shared" si="239"/>
        <v>5499.7</v>
      </c>
    </row>
    <row r="631" spans="1:10" ht="89.25" x14ac:dyDescent="0.25">
      <c r="A631" s="25"/>
      <c r="B631" s="56"/>
      <c r="C631" s="5" t="s">
        <v>66</v>
      </c>
      <c r="D631" s="5" t="s">
        <v>59</v>
      </c>
      <c r="E631" s="57" t="s">
        <v>38</v>
      </c>
      <c r="F631" s="33"/>
      <c r="G631" s="115" t="s">
        <v>205</v>
      </c>
      <c r="H631" s="166">
        <f>H632+H635</f>
        <v>5499.7</v>
      </c>
      <c r="I631" s="166">
        <f>I632+I635</f>
        <v>5499.7</v>
      </c>
      <c r="J631" s="166">
        <f>J632+J635</f>
        <v>5499.7</v>
      </c>
    </row>
    <row r="632" spans="1:10" ht="28.15" customHeight="1" x14ac:dyDescent="0.2">
      <c r="A632" s="25"/>
      <c r="B632" s="56"/>
      <c r="C632" s="16" t="s">
        <v>66</v>
      </c>
      <c r="D632" s="16" t="s">
        <v>59</v>
      </c>
      <c r="E632" s="46" t="s">
        <v>451</v>
      </c>
      <c r="F632" s="33"/>
      <c r="G632" s="42" t="s">
        <v>460</v>
      </c>
      <c r="H632" s="163">
        <f>H633</f>
        <v>680</v>
      </c>
      <c r="I632" s="163">
        <f t="shared" ref="I632:J632" si="240">I633</f>
        <v>680</v>
      </c>
      <c r="J632" s="163">
        <f t="shared" si="240"/>
        <v>680</v>
      </c>
    </row>
    <row r="633" spans="1:10" ht="51" x14ac:dyDescent="0.2">
      <c r="A633" s="25"/>
      <c r="B633" s="56"/>
      <c r="C633" s="16" t="s">
        <v>66</v>
      </c>
      <c r="D633" s="16" t="s">
        <v>59</v>
      </c>
      <c r="E633" s="19" t="s">
        <v>459</v>
      </c>
      <c r="F633" s="16"/>
      <c r="G633" s="75" t="s">
        <v>458</v>
      </c>
      <c r="H633" s="82">
        <f t="shared" ref="H633:J633" si="241">H634</f>
        <v>680</v>
      </c>
      <c r="I633" s="82">
        <f t="shared" si="241"/>
        <v>680</v>
      </c>
      <c r="J633" s="82">
        <f t="shared" si="241"/>
        <v>680</v>
      </c>
    </row>
    <row r="634" spans="1:10" ht="38.25" x14ac:dyDescent="0.2">
      <c r="A634" s="25"/>
      <c r="B634" s="56"/>
      <c r="C634" s="16" t="s">
        <v>66</v>
      </c>
      <c r="D634" s="16" t="s">
        <v>59</v>
      </c>
      <c r="E634" s="19" t="s">
        <v>459</v>
      </c>
      <c r="F634" s="65" t="s">
        <v>119</v>
      </c>
      <c r="G634" s="75" t="s">
        <v>120</v>
      </c>
      <c r="H634" s="82">
        <v>680</v>
      </c>
      <c r="I634" s="82">
        <v>680</v>
      </c>
      <c r="J634" s="82">
        <v>680</v>
      </c>
    </row>
    <row r="635" spans="1:10" ht="44.45" customHeight="1" x14ac:dyDescent="0.2">
      <c r="A635" s="25"/>
      <c r="B635" s="56"/>
      <c r="C635" s="16" t="s">
        <v>66</v>
      </c>
      <c r="D635" s="16" t="s">
        <v>59</v>
      </c>
      <c r="E635" s="63">
        <v>259900000</v>
      </c>
      <c r="F635" s="19"/>
      <c r="G635" s="52" t="s">
        <v>477</v>
      </c>
      <c r="H635" s="163">
        <f>H636</f>
        <v>4819.7</v>
      </c>
      <c r="I635" s="163">
        <f>I636</f>
        <v>4819.7</v>
      </c>
      <c r="J635" s="163">
        <f>J636</f>
        <v>4819.7</v>
      </c>
    </row>
    <row r="636" spans="1:10" ht="65.25" customHeight="1" x14ac:dyDescent="0.2">
      <c r="A636" s="25"/>
      <c r="B636" s="56"/>
      <c r="C636" s="16" t="s">
        <v>66</v>
      </c>
      <c r="D636" s="16" t="s">
        <v>59</v>
      </c>
      <c r="E636" s="63">
        <v>259922200</v>
      </c>
      <c r="F636" s="19"/>
      <c r="G636" s="75" t="s">
        <v>478</v>
      </c>
      <c r="H636" s="162">
        <f>SUM(H637:H638)</f>
        <v>4819.7</v>
      </c>
      <c r="I636" s="162">
        <f>SUM(I637:I638)</f>
        <v>4819.7</v>
      </c>
      <c r="J636" s="162">
        <f>SUM(J637:J638)</f>
        <v>4819.7</v>
      </c>
    </row>
    <row r="637" spans="1:10" ht="38.25" x14ac:dyDescent="0.2">
      <c r="A637" s="25"/>
      <c r="B637" s="56"/>
      <c r="C637" s="16" t="s">
        <v>66</v>
      </c>
      <c r="D637" s="16" t="s">
        <v>59</v>
      </c>
      <c r="E637" s="63">
        <v>259922200</v>
      </c>
      <c r="F637" s="16" t="s">
        <v>40</v>
      </c>
      <c r="G637" s="48" t="s">
        <v>41</v>
      </c>
      <c r="H637" s="162">
        <f>3942.1+787.1</f>
        <v>4729.2</v>
      </c>
      <c r="I637" s="162">
        <f t="shared" ref="I637:J637" si="242">3942.1+787.1</f>
        <v>4729.2</v>
      </c>
      <c r="J637" s="162">
        <f t="shared" si="242"/>
        <v>4729.2</v>
      </c>
    </row>
    <row r="638" spans="1:10" ht="38.25" x14ac:dyDescent="0.2">
      <c r="A638" s="25"/>
      <c r="B638" s="56"/>
      <c r="C638" s="16" t="s">
        <v>66</v>
      </c>
      <c r="D638" s="16" t="s">
        <v>59</v>
      </c>
      <c r="E638" s="63">
        <v>259922200</v>
      </c>
      <c r="F638" s="65" t="s">
        <v>119</v>
      </c>
      <c r="G638" s="75" t="s">
        <v>120</v>
      </c>
      <c r="H638" s="82">
        <v>90.5</v>
      </c>
      <c r="I638" s="82">
        <v>90.5</v>
      </c>
      <c r="J638" s="82">
        <v>90.5</v>
      </c>
    </row>
    <row r="639" spans="1:10" ht="15.75" x14ac:dyDescent="0.25">
      <c r="A639" s="1"/>
      <c r="B639" s="23"/>
      <c r="C639" s="4" t="s">
        <v>67</v>
      </c>
      <c r="D639" s="3"/>
      <c r="E639" s="3"/>
      <c r="F639" s="3"/>
      <c r="G639" s="43" t="s">
        <v>88</v>
      </c>
      <c r="H639" s="156">
        <f t="shared" ref="H639:J641" si="243">H640</f>
        <v>861.5</v>
      </c>
      <c r="I639" s="156">
        <f t="shared" si="243"/>
        <v>861.5</v>
      </c>
      <c r="J639" s="156">
        <f t="shared" si="243"/>
        <v>861.5</v>
      </c>
    </row>
    <row r="640" spans="1:10" ht="14.25" x14ac:dyDescent="0.2">
      <c r="A640" s="1"/>
      <c r="B640" s="23"/>
      <c r="C640" s="33" t="s">
        <v>67</v>
      </c>
      <c r="D640" s="33" t="s">
        <v>54</v>
      </c>
      <c r="E640" s="33"/>
      <c r="F640" s="33"/>
      <c r="G640" s="40" t="s">
        <v>4</v>
      </c>
      <c r="H640" s="161">
        <f t="shared" si="243"/>
        <v>861.5</v>
      </c>
      <c r="I640" s="161">
        <f t="shared" si="243"/>
        <v>861.5</v>
      </c>
      <c r="J640" s="161">
        <f t="shared" si="243"/>
        <v>861.5</v>
      </c>
    </row>
    <row r="641" spans="1:10" ht="89.25" x14ac:dyDescent="0.2">
      <c r="A641" s="1"/>
      <c r="B641" s="23"/>
      <c r="C641" s="16" t="s">
        <v>67</v>
      </c>
      <c r="D641" s="16" t="s">
        <v>54</v>
      </c>
      <c r="E641" s="57" t="s">
        <v>38</v>
      </c>
      <c r="F641" s="33"/>
      <c r="G641" s="115" t="s">
        <v>205</v>
      </c>
      <c r="H641" s="164">
        <f t="shared" si="243"/>
        <v>861.5</v>
      </c>
      <c r="I641" s="164">
        <f t="shared" si="243"/>
        <v>861.5</v>
      </c>
      <c r="J641" s="164">
        <f t="shared" si="243"/>
        <v>861.5</v>
      </c>
    </row>
    <row r="642" spans="1:10" ht="31.15" customHeight="1" x14ac:dyDescent="0.2">
      <c r="A642" s="1"/>
      <c r="B642" s="23"/>
      <c r="C642" s="41" t="s">
        <v>67</v>
      </c>
      <c r="D642" s="41" t="s">
        <v>54</v>
      </c>
      <c r="E642" s="46" t="s">
        <v>468</v>
      </c>
      <c r="F642" s="33"/>
      <c r="G642" s="42" t="s">
        <v>466</v>
      </c>
      <c r="H642" s="163">
        <f>H643+H646</f>
        <v>861.5</v>
      </c>
      <c r="I642" s="163">
        <f t="shared" ref="I642:J642" si="244">I643+I646</f>
        <v>861.5</v>
      </c>
      <c r="J642" s="163">
        <f t="shared" si="244"/>
        <v>861.5</v>
      </c>
    </row>
    <row r="643" spans="1:10" ht="93.6" customHeight="1" x14ac:dyDescent="0.2">
      <c r="A643" s="1"/>
      <c r="B643" s="23"/>
      <c r="C643" s="16" t="s">
        <v>67</v>
      </c>
      <c r="D643" s="16" t="s">
        <v>54</v>
      </c>
      <c r="E643" s="19" t="s">
        <v>469</v>
      </c>
      <c r="F643" s="19"/>
      <c r="G643" s="76" t="s">
        <v>467</v>
      </c>
      <c r="H643" s="113">
        <f>SUM(H644:H645)</f>
        <v>750.5</v>
      </c>
      <c r="I643" s="113">
        <f t="shared" ref="I643:J643" si="245">SUM(I644:I645)</f>
        <v>750.5</v>
      </c>
      <c r="J643" s="113">
        <f t="shared" si="245"/>
        <v>750.5</v>
      </c>
    </row>
    <row r="644" spans="1:10" ht="25.5" x14ac:dyDescent="0.2">
      <c r="A644" s="1"/>
      <c r="B644" s="23"/>
      <c r="C644" s="16" t="s">
        <v>67</v>
      </c>
      <c r="D644" s="16" t="s">
        <v>54</v>
      </c>
      <c r="E644" s="19" t="s">
        <v>469</v>
      </c>
      <c r="F644" s="65" t="s">
        <v>42</v>
      </c>
      <c r="G644" s="48" t="s">
        <v>95</v>
      </c>
      <c r="H644" s="113">
        <v>70</v>
      </c>
      <c r="I644" s="113">
        <v>70</v>
      </c>
      <c r="J644" s="113">
        <v>70</v>
      </c>
    </row>
    <row r="645" spans="1:10" ht="38.25" x14ac:dyDescent="0.2">
      <c r="A645" s="1"/>
      <c r="B645" s="23"/>
      <c r="C645" s="16" t="s">
        <v>67</v>
      </c>
      <c r="D645" s="16" t="s">
        <v>54</v>
      </c>
      <c r="E645" s="19" t="s">
        <v>469</v>
      </c>
      <c r="F645" s="65" t="s">
        <v>119</v>
      </c>
      <c r="G645" s="75" t="s">
        <v>120</v>
      </c>
      <c r="H645" s="113">
        <v>680.5</v>
      </c>
      <c r="I645" s="113">
        <v>680.5</v>
      </c>
      <c r="J645" s="113">
        <v>680.5</v>
      </c>
    </row>
    <row r="646" spans="1:10" ht="64.5" customHeight="1" x14ac:dyDescent="0.2">
      <c r="A646" s="1"/>
      <c r="B646" s="23"/>
      <c r="C646" s="16" t="s">
        <v>67</v>
      </c>
      <c r="D646" s="16" t="s">
        <v>54</v>
      </c>
      <c r="E646" s="19" t="s">
        <v>470</v>
      </c>
      <c r="F646" s="19"/>
      <c r="G646" s="76" t="s">
        <v>39</v>
      </c>
      <c r="H646" s="113">
        <f>SUM(H647:H648)</f>
        <v>111</v>
      </c>
      <c r="I646" s="113">
        <f t="shared" ref="I646:J646" si="246">SUM(I647:I648)</f>
        <v>111</v>
      </c>
      <c r="J646" s="113">
        <f t="shared" si="246"/>
        <v>111</v>
      </c>
    </row>
    <row r="647" spans="1:10" ht="25.5" x14ac:dyDescent="0.2">
      <c r="A647" s="1"/>
      <c r="B647" s="23"/>
      <c r="C647" s="16" t="s">
        <v>67</v>
      </c>
      <c r="D647" s="16" t="s">
        <v>54</v>
      </c>
      <c r="E647" s="19" t="s">
        <v>470</v>
      </c>
      <c r="F647" s="65" t="s">
        <v>42</v>
      </c>
      <c r="G647" s="48" t="s">
        <v>95</v>
      </c>
      <c r="H647" s="113">
        <v>76</v>
      </c>
      <c r="I647" s="113">
        <v>76</v>
      </c>
      <c r="J647" s="113">
        <v>76</v>
      </c>
    </row>
    <row r="648" spans="1:10" ht="38.25" x14ac:dyDescent="0.2">
      <c r="A648" s="1"/>
      <c r="B648" s="23"/>
      <c r="C648" s="16" t="s">
        <v>67</v>
      </c>
      <c r="D648" s="16" t="s">
        <v>54</v>
      </c>
      <c r="E648" s="19" t="s">
        <v>470</v>
      </c>
      <c r="F648" s="65" t="s">
        <v>119</v>
      </c>
      <c r="G648" s="75" t="s">
        <v>120</v>
      </c>
      <c r="H648" s="113">
        <v>35</v>
      </c>
      <c r="I648" s="113">
        <v>35</v>
      </c>
      <c r="J648" s="113">
        <v>35</v>
      </c>
    </row>
    <row r="649" spans="1:10" ht="93.75" customHeight="1" x14ac:dyDescent="0.25">
      <c r="A649" s="3">
        <v>6</v>
      </c>
      <c r="B649" s="73">
        <v>902</v>
      </c>
      <c r="C649" s="13"/>
      <c r="D649" s="13"/>
      <c r="E649" s="13"/>
      <c r="F649" s="13"/>
      <c r="G649" s="14" t="s">
        <v>229</v>
      </c>
      <c r="H649" s="156">
        <f>H650</f>
        <v>17441.2</v>
      </c>
      <c r="I649" s="156">
        <f t="shared" ref="I649:J649" si="247">I650</f>
        <v>17630.8</v>
      </c>
      <c r="J649" s="156">
        <f t="shared" si="247"/>
        <v>17630.8</v>
      </c>
    </row>
    <row r="650" spans="1:10" ht="15.75" x14ac:dyDescent="0.25">
      <c r="A650" s="3"/>
      <c r="B650" s="73"/>
      <c r="C650" s="4" t="s">
        <v>53</v>
      </c>
      <c r="D650" s="11"/>
      <c r="E650" s="11"/>
      <c r="F650" s="11"/>
      <c r="G650" s="15" t="s">
        <v>56</v>
      </c>
      <c r="H650" s="156">
        <f>H651+H658</f>
        <v>17441.2</v>
      </c>
      <c r="I650" s="156">
        <f t="shared" ref="I650:J650" si="248">I651+I658</f>
        <v>17630.8</v>
      </c>
      <c r="J650" s="156">
        <f t="shared" si="248"/>
        <v>17630.8</v>
      </c>
    </row>
    <row r="651" spans="1:10" ht="54" customHeight="1" x14ac:dyDescent="0.2">
      <c r="A651" s="25"/>
      <c r="B651" s="56"/>
      <c r="C651" s="33" t="s">
        <v>53</v>
      </c>
      <c r="D651" s="33" t="s">
        <v>61</v>
      </c>
      <c r="E651" s="33"/>
      <c r="F651" s="33"/>
      <c r="G651" s="40" t="s">
        <v>90</v>
      </c>
      <c r="H651" s="161">
        <f t="shared" ref="H651:J652" si="249">SUM(H652)</f>
        <v>16630.8</v>
      </c>
      <c r="I651" s="161">
        <f t="shared" si="249"/>
        <v>16630.8</v>
      </c>
      <c r="J651" s="161">
        <f t="shared" si="249"/>
        <v>16630.8</v>
      </c>
    </row>
    <row r="652" spans="1:10" ht="25.5" x14ac:dyDescent="0.2">
      <c r="A652" s="1"/>
      <c r="B652" s="23"/>
      <c r="C652" s="16" t="s">
        <v>53</v>
      </c>
      <c r="D652" s="16" t="s">
        <v>61</v>
      </c>
      <c r="E652" s="62">
        <v>9900000000</v>
      </c>
      <c r="F652" s="16"/>
      <c r="G652" s="48" t="s">
        <v>104</v>
      </c>
      <c r="H652" s="113">
        <f t="shared" si="249"/>
        <v>16630.8</v>
      </c>
      <c r="I652" s="113">
        <f t="shared" si="249"/>
        <v>16630.8</v>
      </c>
      <c r="J652" s="113">
        <f t="shared" si="249"/>
        <v>16630.8</v>
      </c>
    </row>
    <row r="653" spans="1:10" ht="38.25" x14ac:dyDescent="0.2">
      <c r="A653" s="1"/>
      <c r="B653" s="23"/>
      <c r="C653" s="16" t="s">
        <v>53</v>
      </c>
      <c r="D653" s="16" t="s">
        <v>61</v>
      </c>
      <c r="E653" s="62">
        <v>9980000000</v>
      </c>
      <c r="F653" s="16"/>
      <c r="G653" s="47" t="s">
        <v>26</v>
      </c>
      <c r="H653" s="113">
        <f t="shared" ref="H653:J653" si="250">H654</f>
        <v>16630.8</v>
      </c>
      <c r="I653" s="113">
        <f t="shared" si="250"/>
        <v>16630.8</v>
      </c>
      <c r="J653" s="113">
        <f t="shared" si="250"/>
        <v>16630.8</v>
      </c>
    </row>
    <row r="654" spans="1:10" x14ac:dyDescent="0.2">
      <c r="A654" s="1"/>
      <c r="B654" s="23"/>
      <c r="C654" s="16" t="s">
        <v>53</v>
      </c>
      <c r="D654" s="16" t="s">
        <v>61</v>
      </c>
      <c r="E654" s="108">
        <v>9980022200</v>
      </c>
      <c r="F654" s="19"/>
      <c r="G654" s="76" t="s">
        <v>80</v>
      </c>
      <c r="H654" s="113">
        <f>SUM(H655:H657)</f>
        <v>16630.8</v>
      </c>
      <c r="I654" s="113">
        <f t="shared" ref="I654:J654" si="251">SUM(I655:I657)</f>
        <v>16630.8</v>
      </c>
      <c r="J654" s="113">
        <f t="shared" si="251"/>
        <v>16630.8</v>
      </c>
    </row>
    <row r="655" spans="1:10" ht="38.25" x14ac:dyDescent="0.2">
      <c r="A655" s="1"/>
      <c r="B655" s="23"/>
      <c r="C655" s="16" t="s">
        <v>53</v>
      </c>
      <c r="D655" s="16" t="s">
        <v>61</v>
      </c>
      <c r="E655" s="62">
        <v>9980022200</v>
      </c>
      <c r="F655" s="16" t="s">
        <v>40</v>
      </c>
      <c r="G655" s="77" t="s">
        <v>41</v>
      </c>
      <c r="H655" s="113">
        <f>13404.9+2582.6</f>
        <v>15987.5</v>
      </c>
      <c r="I655" s="113">
        <f t="shared" ref="I655:J655" si="252">13404.9+2582.6</f>
        <v>15987.5</v>
      </c>
      <c r="J655" s="113">
        <f t="shared" si="252"/>
        <v>15987.5</v>
      </c>
    </row>
    <row r="656" spans="1:10" ht="38.25" x14ac:dyDescent="0.2">
      <c r="A656" s="1"/>
      <c r="B656" s="23"/>
      <c r="C656" s="16" t="s">
        <v>53</v>
      </c>
      <c r="D656" s="16" t="s">
        <v>61</v>
      </c>
      <c r="E656" s="62">
        <v>9980022200</v>
      </c>
      <c r="F656" s="65" t="s">
        <v>119</v>
      </c>
      <c r="G656" s="75" t="s">
        <v>120</v>
      </c>
      <c r="H656" s="113">
        <f>643.3-3.5</f>
        <v>639.79999999999995</v>
      </c>
      <c r="I656" s="113">
        <v>643.29999999999995</v>
      </c>
      <c r="J656" s="113">
        <v>643.29999999999995</v>
      </c>
    </row>
    <row r="657" spans="1:10" ht="25.5" x14ac:dyDescent="0.2">
      <c r="A657" s="1"/>
      <c r="B657" s="23"/>
      <c r="C657" s="16" t="s">
        <v>53</v>
      </c>
      <c r="D657" s="16" t="s">
        <v>61</v>
      </c>
      <c r="E657" s="62">
        <v>9980022200</v>
      </c>
      <c r="F657" s="65" t="s">
        <v>96</v>
      </c>
      <c r="G657" s="75" t="s">
        <v>97</v>
      </c>
      <c r="H657" s="113">
        <v>3.5</v>
      </c>
      <c r="I657" s="113">
        <v>0</v>
      </c>
      <c r="J657" s="113">
        <v>0</v>
      </c>
    </row>
    <row r="658" spans="1:10" ht="14.25" x14ac:dyDescent="0.2">
      <c r="A658" s="1"/>
      <c r="B658" s="23"/>
      <c r="C658" s="33" t="s">
        <v>53</v>
      </c>
      <c r="D658" s="33" t="s">
        <v>67</v>
      </c>
      <c r="E658" s="33"/>
      <c r="F658" s="33"/>
      <c r="G658" s="25" t="s">
        <v>3</v>
      </c>
      <c r="H658" s="168">
        <f t="shared" ref="H658:J660" si="253">H659</f>
        <v>810.40000000000009</v>
      </c>
      <c r="I658" s="168">
        <f t="shared" si="253"/>
        <v>1000</v>
      </c>
      <c r="J658" s="168">
        <f t="shared" si="253"/>
        <v>1000</v>
      </c>
    </row>
    <row r="659" spans="1:10" ht="14.25" x14ac:dyDescent="0.2">
      <c r="A659" s="1"/>
      <c r="B659" s="23"/>
      <c r="C659" s="16" t="s">
        <v>53</v>
      </c>
      <c r="D659" s="16" t="s">
        <v>67</v>
      </c>
      <c r="E659" s="62">
        <v>9920000000</v>
      </c>
      <c r="F659" s="33"/>
      <c r="G659" s="93" t="s">
        <v>3</v>
      </c>
      <c r="H659" s="162">
        <f t="shared" si="253"/>
        <v>810.40000000000009</v>
      </c>
      <c r="I659" s="162">
        <f t="shared" si="253"/>
        <v>1000</v>
      </c>
      <c r="J659" s="162">
        <f t="shared" si="253"/>
        <v>1000</v>
      </c>
    </row>
    <row r="660" spans="1:10" ht="25.5" x14ac:dyDescent="0.2">
      <c r="A660" s="1"/>
      <c r="B660" s="23"/>
      <c r="C660" s="16" t="s">
        <v>53</v>
      </c>
      <c r="D660" s="16" t="s">
        <v>67</v>
      </c>
      <c r="E660" s="62">
        <v>9920026100</v>
      </c>
      <c r="F660" s="19"/>
      <c r="G660" s="76" t="s">
        <v>9</v>
      </c>
      <c r="H660" s="113">
        <f t="shared" si="253"/>
        <v>810.40000000000009</v>
      </c>
      <c r="I660" s="113">
        <f t="shared" si="253"/>
        <v>1000</v>
      </c>
      <c r="J660" s="113">
        <f t="shared" si="253"/>
        <v>1000</v>
      </c>
    </row>
    <row r="661" spans="1:10" x14ac:dyDescent="0.2">
      <c r="A661" s="1"/>
      <c r="B661" s="23"/>
      <c r="C661" s="16" t="s">
        <v>53</v>
      </c>
      <c r="D661" s="16" t="s">
        <v>67</v>
      </c>
      <c r="E661" s="62">
        <v>9920026100</v>
      </c>
      <c r="F661" s="16" t="s">
        <v>49</v>
      </c>
      <c r="G661" s="75" t="s">
        <v>50</v>
      </c>
      <c r="H661" s="113">
        <f>1000-50+1000-709.6-150-65-175-40</f>
        <v>810.40000000000009</v>
      </c>
      <c r="I661" s="113">
        <v>1000</v>
      </c>
      <c r="J661" s="113">
        <v>1000</v>
      </c>
    </row>
  </sheetData>
  <mergeCells count="14">
    <mergeCell ref="B1:C1"/>
    <mergeCell ref="B2:C2"/>
    <mergeCell ref="B3:C3"/>
    <mergeCell ref="A22:A23"/>
    <mergeCell ref="A19:J19"/>
    <mergeCell ref="E21:E23"/>
    <mergeCell ref="F21:F23"/>
    <mergeCell ref="G21:G23"/>
    <mergeCell ref="H21:J21"/>
    <mergeCell ref="I22:J22"/>
    <mergeCell ref="C21:C23"/>
    <mergeCell ref="B21:B23"/>
    <mergeCell ref="H22:H23"/>
    <mergeCell ref="D21:D23"/>
  </mergeCells>
  <phoneticPr fontId="2" type="noConversion"/>
  <pageMargins left="0.74803149606299213" right="0.74803149606299213" top="0.9055118110236221" bottom="0.98425196850393704" header="0.51181102362204722" footer="0.51181102362204722"/>
  <pageSetup paperSize="9" scale="92" fitToHeight="0" orientation="portrait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2"/>
  <sheetViews>
    <sheetView view="pageBreakPreview" zoomScale="60" zoomScaleNormal="100" workbookViewId="0">
      <selection activeCell="F6" sqref="F6"/>
    </sheetView>
  </sheetViews>
  <sheetFormatPr defaultColWidth="9.140625" defaultRowHeight="12.75" x14ac:dyDescent="0.2"/>
  <cols>
    <col min="1" max="1" width="2.5703125" customWidth="1"/>
    <col min="2" max="2" width="2.42578125" customWidth="1"/>
    <col min="3" max="3" width="11.5703125" customWidth="1"/>
    <col min="4" max="4" width="3.28515625" customWidth="1"/>
    <col min="5" max="5" width="35.28515625" customWidth="1"/>
    <col min="6" max="6" width="11.85546875" customWidth="1"/>
    <col min="7" max="7" width="12.140625" customWidth="1"/>
    <col min="8" max="8" width="11.5703125" customWidth="1"/>
  </cols>
  <sheetData>
    <row r="1" spans="5:5" x14ac:dyDescent="0.2">
      <c r="E1" s="70" t="s">
        <v>182</v>
      </c>
    </row>
    <row r="2" spans="5:5" x14ac:dyDescent="0.2">
      <c r="E2" s="70" t="s">
        <v>579</v>
      </c>
    </row>
    <row r="3" spans="5:5" x14ac:dyDescent="0.2">
      <c r="E3" s="70" t="s">
        <v>717</v>
      </c>
    </row>
    <row r="4" spans="5:5" x14ac:dyDescent="0.2">
      <c r="E4" s="70" t="s">
        <v>575</v>
      </c>
    </row>
    <row r="5" spans="5:5" x14ac:dyDescent="0.2">
      <c r="E5" s="70" t="s">
        <v>576</v>
      </c>
    </row>
    <row r="6" spans="5:5" x14ac:dyDescent="0.2">
      <c r="E6" s="70" t="s">
        <v>580</v>
      </c>
    </row>
    <row r="7" spans="5:5" x14ac:dyDescent="0.2">
      <c r="E7" s="70" t="s">
        <v>199</v>
      </c>
    </row>
    <row r="8" spans="5:5" x14ac:dyDescent="0.2">
      <c r="E8" s="70" t="s">
        <v>577</v>
      </c>
    </row>
    <row r="9" spans="5:5" x14ac:dyDescent="0.2">
      <c r="E9" s="70" t="s">
        <v>578</v>
      </c>
    </row>
    <row r="10" spans="5:5" x14ac:dyDescent="0.2">
      <c r="E10" s="71"/>
    </row>
    <row r="11" spans="5:5" x14ac:dyDescent="0.2">
      <c r="E11" s="70" t="s">
        <v>182</v>
      </c>
    </row>
    <row r="12" spans="5:5" x14ac:dyDescent="0.2">
      <c r="E12" s="70" t="s">
        <v>579</v>
      </c>
    </row>
    <row r="13" spans="5:5" x14ac:dyDescent="0.2">
      <c r="E13" s="70" t="s">
        <v>581</v>
      </c>
    </row>
    <row r="14" spans="5:5" x14ac:dyDescent="0.2">
      <c r="E14" s="70" t="s">
        <v>199</v>
      </c>
    </row>
    <row r="15" spans="5:5" x14ac:dyDescent="0.2">
      <c r="E15" s="70" t="s">
        <v>573</v>
      </c>
    </row>
    <row r="16" spans="5:5" x14ac:dyDescent="0.2">
      <c r="E16" s="70" t="s">
        <v>574</v>
      </c>
    </row>
    <row r="17" spans="1:8" x14ac:dyDescent="0.2">
      <c r="E17" s="68"/>
      <c r="F17" s="68"/>
      <c r="G17" s="69"/>
      <c r="H17" s="69"/>
    </row>
    <row r="18" spans="1:8" x14ac:dyDescent="0.2">
      <c r="E18" s="68"/>
      <c r="F18" s="68"/>
      <c r="G18" s="69"/>
      <c r="H18" s="69"/>
    </row>
    <row r="19" spans="1:8" ht="57.75" customHeight="1" x14ac:dyDescent="0.2">
      <c r="A19" s="220" t="s">
        <v>514</v>
      </c>
      <c r="B19" s="243"/>
      <c r="C19" s="243"/>
      <c r="D19" s="243"/>
      <c r="E19" s="243"/>
      <c r="F19" s="243"/>
      <c r="G19" s="244"/>
      <c r="H19" s="244"/>
    </row>
    <row r="21" spans="1:8" x14ac:dyDescent="0.2">
      <c r="F21" s="6"/>
    </row>
    <row r="22" spans="1:8" x14ac:dyDescent="0.2">
      <c r="A22" s="226" t="s">
        <v>82</v>
      </c>
      <c r="B22" s="226" t="s">
        <v>83</v>
      </c>
      <c r="C22" s="226" t="s">
        <v>84</v>
      </c>
      <c r="D22" s="226" t="s">
        <v>78</v>
      </c>
      <c r="E22" s="226" t="s">
        <v>55</v>
      </c>
      <c r="F22" s="232" t="s">
        <v>24</v>
      </c>
      <c r="G22" s="219"/>
      <c r="H22" s="219"/>
    </row>
    <row r="23" spans="1:8" x14ac:dyDescent="0.2">
      <c r="A23" s="227"/>
      <c r="B23" s="227"/>
      <c r="C23" s="227"/>
      <c r="D23" s="227"/>
      <c r="E23" s="227"/>
      <c r="F23" s="236" t="s">
        <v>189</v>
      </c>
      <c r="G23" s="219" t="s">
        <v>101</v>
      </c>
      <c r="H23" s="219"/>
    </row>
    <row r="24" spans="1:8" x14ac:dyDescent="0.2">
      <c r="A24" s="228"/>
      <c r="B24" s="228"/>
      <c r="C24" s="228"/>
      <c r="D24" s="228"/>
      <c r="E24" s="228"/>
      <c r="F24" s="238"/>
      <c r="G24" s="103" t="s">
        <v>198</v>
      </c>
      <c r="H24" s="103" t="s">
        <v>219</v>
      </c>
    </row>
    <row r="25" spans="1:8" x14ac:dyDescent="0.2">
      <c r="A25" s="2">
        <v>1</v>
      </c>
      <c r="B25" s="2">
        <v>2</v>
      </c>
      <c r="C25" s="2">
        <v>3</v>
      </c>
      <c r="D25" s="2">
        <v>4</v>
      </c>
      <c r="E25" s="2">
        <v>5</v>
      </c>
      <c r="F25" s="2">
        <v>6</v>
      </c>
      <c r="G25" s="2">
        <v>7</v>
      </c>
      <c r="H25" s="2">
        <v>8</v>
      </c>
    </row>
    <row r="26" spans="1:8" ht="18" x14ac:dyDescent="0.25">
      <c r="A26" s="12"/>
      <c r="B26" s="12"/>
      <c r="C26" s="12"/>
      <c r="D26" s="12"/>
      <c r="E26" s="9" t="s">
        <v>57</v>
      </c>
      <c r="F26" s="158">
        <f>F27+F97+F103+F138+F208+F336+F486+F519+F551+F560</f>
        <v>1923640.3</v>
      </c>
      <c r="G26" s="158">
        <f>G27+G97+G103+G138+G208+G336+G486+G519+G551+G560</f>
        <v>1657947.4999999998</v>
      </c>
      <c r="H26" s="158">
        <f>H27+H97+H103+H138+H208+H336+H486+H519+H551+H560</f>
        <v>1651295.0999999999</v>
      </c>
    </row>
    <row r="27" spans="1:8" ht="31.5" x14ac:dyDescent="0.25">
      <c r="A27" s="4" t="s">
        <v>53</v>
      </c>
      <c r="B27" s="11"/>
      <c r="C27" s="11"/>
      <c r="D27" s="11"/>
      <c r="E27" s="10" t="s">
        <v>56</v>
      </c>
      <c r="F27" s="156">
        <f>F28+F32+F37+F45+F49+F60+F64</f>
        <v>206285.19999999998</v>
      </c>
      <c r="G27" s="156">
        <f>G28+G32+G37+G45+G49+G60+G64</f>
        <v>185498</v>
      </c>
      <c r="H27" s="156">
        <f>H28+H32+H37+H45+H49+H60+H64</f>
        <v>180246.2</v>
      </c>
    </row>
    <row r="28" spans="1:8" ht="51" x14ac:dyDescent="0.2">
      <c r="A28" s="28" t="s">
        <v>53</v>
      </c>
      <c r="B28" s="28" t="s">
        <v>54</v>
      </c>
      <c r="C28" s="28"/>
      <c r="D28" s="28"/>
      <c r="E28" s="40" t="s">
        <v>15</v>
      </c>
      <c r="F28" s="160">
        <f t="shared" ref="F28:H30" si="0">F29</f>
        <v>3242.8999999999996</v>
      </c>
      <c r="G28" s="160">
        <f t="shared" si="0"/>
        <v>3242.8999999999996</v>
      </c>
      <c r="H28" s="160">
        <f t="shared" si="0"/>
        <v>3242.8999999999996</v>
      </c>
    </row>
    <row r="29" spans="1:8" ht="25.5" x14ac:dyDescent="0.2">
      <c r="A29" s="16" t="s">
        <v>53</v>
      </c>
      <c r="B29" s="16" t="s">
        <v>54</v>
      </c>
      <c r="C29" s="62">
        <v>9900000000</v>
      </c>
      <c r="D29" s="16"/>
      <c r="E29" s="48" t="s">
        <v>104</v>
      </c>
      <c r="F29" s="82">
        <f t="shared" si="0"/>
        <v>3242.8999999999996</v>
      </c>
      <c r="G29" s="82">
        <f t="shared" si="0"/>
        <v>3242.8999999999996</v>
      </c>
      <c r="H29" s="82">
        <f t="shared" si="0"/>
        <v>3242.8999999999996</v>
      </c>
    </row>
    <row r="30" spans="1:8" x14ac:dyDescent="0.2">
      <c r="A30" s="16" t="s">
        <v>53</v>
      </c>
      <c r="B30" s="16" t="s">
        <v>54</v>
      </c>
      <c r="C30" s="62">
        <v>9980022100</v>
      </c>
      <c r="D30" s="16"/>
      <c r="E30" s="76" t="s">
        <v>79</v>
      </c>
      <c r="F30" s="113">
        <f t="shared" si="0"/>
        <v>3242.8999999999996</v>
      </c>
      <c r="G30" s="113">
        <f t="shared" si="0"/>
        <v>3242.8999999999996</v>
      </c>
      <c r="H30" s="113">
        <f t="shared" si="0"/>
        <v>3242.8999999999996</v>
      </c>
    </row>
    <row r="31" spans="1:8" ht="38.25" x14ac:dyDescent="0.2">
      <c r="A31" s="16" t="s">
        <v>53</v>
      </c>
      <c r="B31" s="16" t="s">
        <v>54</v>
      </c>
      <c r="C31" s="62">
        <v>9980022100</v>
      </c>
      <c r="D31" s="16" t="s">
        <v>40</v>
      </c>
      <c r="E31" s="76" t="s">
        <v>47</v>
      </c>
      <c r="F31" s="113">
        <f>2701.1+541.8</f>
        <v>3242.8999999999996</v>
      </c>
      <c r="G31" s="113">
        <f t="shared" ref="G31:H31" si="1">2701.1+541.8</f>
        <v>3242.8999999999996</v>
      </c>
      <c r="H31" s="113">
        <f t="shared" si="1"/>
        <v>3242.8999999999996</v>
      </c>
    </row>
    <row r="32" spans="1:8" ht="64.5" x14ac:dyDescent="0.25">
      <c r="A32" s="28" t="s">
        <v>53</v>
      </c>
      <c r="B32" s="28" t="s">
        <v>58</v>
      </c>
      <c r="C32" s="29"/>
      <c r="D32" s="29"/>
      <c r="E32" s="42" t="s">
        <v>92</v>
      </c>
      <c r="F32" s="159">
        <f>F33</f>
        <v>2937.8</v>
      </c>
      <c r="G32" s="159">
        <f>G33</f>
        <v>2937.8</v>
      </c>
      <c r="H32" s="159">
        <f>H33</f>
        <v>2937.8</v>
      </c>
    </row>
    <row r="33" spans="1:8" ht="25.5" x14ac:dyDescent="0.2">
      <c r="A33" s="16" t="s">
        <v>53</v>
      </c>
      <c r="B33" s="16" t="s">
        <v>58</v>
      </c>
      <c r="C33" s="62">
        <v>9900000000</v>
      </c>
      <c r="D33" s="16"/>
      <c r="E33" s="48" t="s">
        <v>104</v>
      </c>
      <c r="F33" s="82">
        <f>F34</f>
        <v>2937.8</v>
      </c>
      <c r="G33" s="82">
        <f t="shared" ref="G33:H33" si="2">G34</f>
        <v>2937.8</v>
      </c>
      <c r="H33" s="82">
        <f t="shared" si="2"/>
        <v>2937.8</v>
      </c>
    </row>
    <row r="34" spans="1:8" ht="25.5" x14ac:dyDescent="0.2">
      <c r="A34" s="16" t="s">
        <v>53</v>
      </c>
      <c r="B34" s="16" t="s">
        <v>58</v>
      </c>
      <c r="C34" s="62">
        <v>9990022500</v>
      </c>
      <c r="D34" s="19"/>
      <c r="E34" s="76" t="s">
        <v>516</v>
      </c>
      <c r="F34" s="82">
        <f>SUM(F35:F36)</f>
        <v>2937.8</v>
      </c>
      <c r="G34" s="82">
        <f>SUM(G35:G36)</f>
        <v>2937.8</v>
      </c>
      <c r="H34" s="82">
        <f>SUM(H35:H36)</f>
        <v>2937.8</v>
      </c>
    </row>
    <row r="35" spans="1:8" ht="38.25" x14ac:dyDescent="0.2">
      <c r="A35" s="16" t="s">
        <v>53</v>
      </c>
      <c r="B35" s="16" t="s">
        <v>58</v>
      </c>
      <c r="C35" s="62">
        <v>9990022500</v>
      </c>
      <c r="D35" s="16" t="s">
        <v>40</v>
      </c>
      <c r="E35" s="48" t="s">
        <v>41</v>
      </c>
      <c r="F35" s="113">
        <f>2329+459.3</f>
        <v>2788.3</v>
      </c>
      <c r="G35" s="113">
        <f t="shared" ref="G35:H35" si="3">2329+459.3</f>
        <v>2788.3</v>
      </c>
      <c r="H35" s="113">
        <f t="shared" si="3"/>
        <v>2788.3</v>
      </c>
    </row>
    <row r="36" spans="1:8" ht="38.25" x14ac:dyDescent="0.2">
      <c r="A36" s="16" t="s">
        <v>53</v>
      </c>
      <c r="B36" s="16" t="s">
        <v>58</v>
      </c>
      <c r="C36" s="62">
        <v>9990022500</v>
      </c>
      <c r="D36" s="65" t="s">
        <v>119</v>
      </c>
      <c r="E36" s="75" t="s">
        <v>120</v>
      </c>
      <c r="F36" s="113">
        <v>149.5</v>
      </c>
      <c r="G36" s="113">
        <v>149.5</v>
      </c>
      <c r="H36" s="113">
        <v>149.5</v>
      </c>
    </row>
    <row r="37" spans="1:8" s="30" customFormat="1" ht="76.5" x14ac:dyDescent="0.2">
      <c r="A37" s="28" t="s">
        <v>53</v>
      </c>
      <c r="B37" s="28" t="s">
        <v>59</v>
      </c>
      <c r="C37" s="28"/>
      <c r="D37" s="28"/>
      <c r="E37" s="40" t="s">
        <v>89</v>
      </c>
      <c r="F37" s="160">
        <f>F38</f>
        <v>79900.899999999994</v>
      </c>
      <c r="G37" s="160">
        <f>G38</f>
        <v>79924.899999999994</v>
      </c>
      <c r="H37" s="160">
        <f>H38</f>
        <v>79929.099999999991</v>
      </c>
    </row>
    <row r="38" spans="1:8" ht="25.5" x14ac:dyDescent="0.2">
      <c r="A38" s="16" t="s">
        <v>53</v>
      </c>
      <c r="B38" s="16" t="s">
        <v>59</v>
      </c>
      <c r="C38" s="62">
        <v>9900000000</v>
      </c>
      <c r="D38" s="16"/>
      <c r="E38" s="48" t="s">
        <v>104</v>
      </c>
      <c r="F38" s="113">
        <f>F39+F42</f>
        <v>79900.899999999994</v>
      </c>
      <c r="G38" s="113">
        <f>G39+G42</f>
        <v>79924.899999999994</v>
      </c>
      <c r="H38" s="113">
        <f>H39+H42</f>
        <v>79929.099999999991</v>
      </c>
    </row>
    <row r="39" spans="1:8" ht="63" customHeight="1" x14ac:dyDescent="0.2">
      <c r="A39" s="16" t="s">
        <v>53</v>
      </c>
      <c r="B39" s="16" t="s">
        <v>59</v>
      </c>
      <c r="C39" s="62">
        <v>9930010510</v>
      </c>
      <c r="D39" s="16"/>
      <c r="E39" s="20" t="s">
        <v>13</v>
      </c>
      <c r="F39" s="113">
        <f>SUM(F40:F41)</f>
        <v>673.80000000000007</v>
      </c>
      <c r="G39" s="113">
        <f t="shared" ref="G39:H39" si="4">SUM(G40:G41)</f>
        <v>677.80000000000007</v>
      </c>
      <c r="H39" s="113">
        <f t="shared" si="4"/>
        <v>682</v>
      </c>
    </row>
    <row r="40" spans="1:8" ht="38.25" x14ac:dyDescent="0.2">
      <c r="A40" s="16" t="s">
        <v>53</v>
      </c>
      <c r="B40" s="16" t="s">
        <v>59</v>
      </c>
      <c r="C40" s="62">
        <v>9930010510</v>
      </c>
      <c r="D40" s="16" t="s">
        <v>40</v>
      </c>
      <c r="E40" s="77" t="s">
        <v>41</v>
      </c>
      <c r="F40" s="113">
        <f>626.7+47.1</f>
        <v>673.80000000000007</v>
      </c>
      <c r="G40" s="113">
        <v>626.70000000000005</v>
      </c>
      <c r="H40" s="113">
        <v>626.70000000000005</v>
      </c>
    </row>
    <row r="41" spans="1:8" ht="38.25" x14ac:dyDescent="0.2">
      <c r="A41" s="16" t="s">
        <v>53</v>
      </c>
      <c r="B41" s="16" t="s">
        <v>59</v>
      </c>
      <c r="C41" s="62">
        <v>9930010510</v>
      </c>
      <c r="D41" s="65" t="s">
        <v>119</v>
      </c>
      <c r="E41" s="75" t="s">
        <v>120</v>
      </c>
      <c r="F41" s="113">
        <f>47.1-47.1</f>
        <v>0</v>
      </c>
      <c r="G41" s="113">
        <v>51.1</v>
      </c>
      <c r="H41" s="113">
        <v>55.3</v>
      </c>
    </row>
    <row r="42" spans="1:8" x14ac:dyDescent="0.2">
      <c r="A42" s="16" t="s">
        <v>53</v>
      </c>
      <c r="B42" s="16" t="s">
        <v>59</v>
      </c>
      <c r="C42" s="108">
        <v>9980022200</v>
      </c>
      <c r="D42" s="19"/>
      <c r="E42" s="76" t="s">
        <v>80</v>
      </c>
      <c r="F42" s="113">
        <f>SUM(F43:F44)</f>
        <v>79227.099999999991</v>
      </c>
      <c r="G42" s="113">
        <f>SUM(G43:G44)</f>
        <v>79247.099999999991</v>
      </c>
      <c r="H42" s="113">
        <f>SUM(H43:H44)</f>
        <v>79247.099999999991</v>
      </c>
    </row>
    <row r="43" spans="1:8" ht="38.25" x14ac:dyDescent="0.2">
      <c r="A43" s="16" t="s">
        <v>53</v>
      </c>
      <c r="B43" s="16" t="s">
        <v>59</v>
      </c>
      <c r="C43" s="108">
        <v>9980022200</v>
      </c>
      <c r="D43" s="16" t="s">
        <v>40</v>
      </c>
      <c r="E43" s="48" t="s">
        <v>41</v>
      </c>
      <c r="F43" s="113">
        <f>65191.7+11874.7</f>
        <v>77066.399999999994</v>
      </c>
      <c r="G43" s="113">
        <f t="shared" ref="G43:H43" si="5">65191.7+11874.7</f>
        <v>77066.399999999994</v>
      </c>
      <c r="H43" s="113">
        <f t="shared" si="5"/>
        <v>77066.399999999994</v>
      </c>
    </row>
    <row r="44" spans="1:8" ht="38.25" x14ac:dyDescent="0.2">
      <c r="A44" s="16" t="s">
        <v>53</v>
      </c>
      <c r="B44" s="16" t="s">
        <v>59</v>
      </c>
      <c r="C44" s="108">
        <v>9980022200</v>
      </c>
      <c r="D44" s="65" t="s">
        <v>119</v>
      </c>
      <c r="E44" s="75" t="s">
        <v>120</v>
      </c>
      <c r="F44" s="113">
        <f>2180.7-20</f>
        <v>2160.6999999999998</v>
      </c>
      <c r="G44" s="113">
        <v>2180.6999999999998</v>
      </c>
      <c r="H44" s="113">
        <v>2180.6999999999998</v>
      </c>
    </row>
    <row r="45" spans="1:8" ht="14.25" x14ac:dyDescent="0.2">
      <c r="A45" s="33" t="s">
        <v>53</v>
      </c>
      <c r="B45" s="33" t="s">
        <v>60</v>
      </c>
      <c r="C45" s="33"/>
      <c r="D45" s="33"/>
      <c r="E45" s="40" t="s">
        <v>135</v>
      </c>
      <c r="F45" s="161">
        <f>SUM(F46)</f>
        <v>96.5</v>
      </c>
      <c r="G45" s="161">
        <f>SUM(G46)</f>
        <v>9</v>
      </c>
      <c r="H45" s="161">
        <f>SUM(H46)</f>
        <v>9.5</v>
      </c>
    </row>
    <row r="46" spans="1:8" ht="25.5" x14ac:dyDescent="0.2">
      <c r="A46" s="16" t="s">
        <v>53</v>
      </c>
      <c r="B46" s="65" t="s">
        <v>60</v>
      </c>
      <c r="C46" s="62">
        <v>9900000000</v>
      </c>
      <c r="D46" s="16"/>
      <c r="E46" s="48" t="s">
        <v>105</v>
      </c>
      <c r="F46" s="113">
        <f t="shared" ref="F46:H47" si="6">F47</f>
        <v>96.5</v>
      </c>
      <c r="G46" s="113">
        <f t="shared" si="6"/>
        <v>9</v>
      </c>
      <c r="H46" s="113">
        <f t="shared" si="6"/>
        <v>9.5</v>
      </c>
    </row>
    <row r="47" spans="1:8" ht="63.75" x14ac:dyDescent="0.2">
      <c r="A47" s="16" t="s">
        <v>53</v>
      </c>
      <c r="B47" s="65" t="s">
        <v>60</v>
      </c>
      <c r="C47" s="62">
        <v>9930051200</v>
      </c>
      <c r="D47" s="16"/>
      <c r="E47" s="47" t="s">
        <v>131</v>
      </c>
      <c r="F47" s="157">
        <f t="shared" si="6"/>
        <v>96.5</v>
      </c>
      <c r="G47" s="113">
        <f t="shared" si="6"/>
        <v>9</v>
      </c>
      <c r="H47" s="113">
        <f t="shared" si="6"/>
        <v>9.5</v>
      </c>
    </row>
    <row r="48" spans="1:8" s="35" customFormat="1" ht="38.25" x14ac:dyDescent="0.2">
      <c r="A48" s="16" t="s">
        <v>53</v>
      </c>
      <c r="B48" s="65" t="s">
        <v>60</v>
      </c>
      <c r="C48" s="62">
        <v>9930051200</v>
      </c>
      <c r="D48" s="65" t="s">
        <v>119</v>
      </c>
      <c r="E48" s="75" t="s">
        <v>120</v>
      </c>
      <c r="F48" s="157">
        <v>96.5</v>
      </c>
      <c r="G48" s="157">
        <v>9</v>
      </c>
      <c r="H48" s="157">
        <v>9.5</v>
      </c>
    </row>
    <row r="49" spans="1:8" ht="63.75" x14ac:dyDescent="0.2">
      <c r="A49" s="33" t="s">
        <v>53</v>
      </c>
      <c r="B49" s="33" t="s">
        <v>61</v>
      </c>
      <c r="C49" s="33"/>
      <c r="D49" s="33"/>
      <c r="E49" s="40" t="s">
        <v>90</v>
      </c>
      <c r="F49" s="161">
        <f>SUM(F50)</f>
        <v>19590.100000000002</v>
      </c>
      <c r="G49" s="161">
        <f>SUM(G50)</f>
        <v>19590.100000000002</v>
      </c>
      <c r="H49" s="161">
        <f>SUM(H50)</f>
        <v>19590.100000000002</v>
      </c>
    </row>
    <row r="50" spans="1:8" ht="25.5" x14ac:dyDescent="0.2">
      <c r="A50" s="16" t="s">
        <v>53</v>
      </c>
      <c r="B50" s="16" t="s">
        <v>61</v>
      </c>
      <c r="C50" s="62">
        <v>9900000000</v>
      </c>
      <c r="D50" s="16"/>
      <c r="E50" s="48" t="s">
        <v>104</v>
      </c>
      <c r="F50" s="113">
        <f>F51+F55+F57</f>
        <v>19590.100000000002</v>
      </c>
      <c r="G50" s="113">
        <f>G51+G55+G57</f>
        <v>19590.100000000002</v>
      </c>
      <c r="H50" s="113">
        <f>H51+H55+H57</f>
        <v>19590.100000000002</v>
      </c>
    </row>
    <row r="51" spans="1:8" x14ac:dyDescent="0.2">
      <c r="A51" s="16" t="s">
        <v>53</v>
      </c>
      <c r="B51" s="16" t="s">
        <v>61</v>
      </c>
      <c r="C51" s="108">
        <v>9980022200</v>
      </c>
      <c r="D51" s="19"/>
      <c r="E51" s="76" t="s">
        <v>80</v>
      </c>
      <c r="F51" s="113">
        <f>SUM(F52:F54)</f>
        <v>16630.8</v>
      </c>
      <c r="G51" s="113">
        <f t="shared" ref="G51:H51" si="7">SUM(G52:G54)</f>
        <v>16630.8</v>
      </c>
      <c r="H51" s="113">
        <f t="shared" si="7"/>
        <v>16630.8</v>
      </c>
    </row>
    <row r="52" spans="1:8" ht="38.25" x14ac:dyDescent="0.2">
      <c r="A52" s="16" t="s">
        <v>53</v>
      </c>
      <c r="B52" s="16" t="s">
        <v>61</v>
      </c>
      <c r="C52" s="62">
        <v>9980022200</v>
      </c>
      <c r="D52" s="16" t="s">
        <v>40</v>
      </c>
      <c r="E52" s="77" t="s">
        <v>41</v>
      </c>
      <c r="F52" s="113">
        <f>13404.9+2582.6</f>
        <v>15987.5</v>
      </c>
      <c r="G52" s="113">
        <f t="shared" ref="G52:H52" si="8">13404.9+2582.6</f>
        <v>15987.5</v>
      </c>
      <c r="H52" s="113">
        <f t="shared" si="8"/>
        <v>15987.5</v>
      </c>
    </row>
    <row r="53" spans="1:8" ht="38.25" x14ac:dyDescent="0.2">
      <c r="A53" s="16" t="s">
        <v>53</v>
      </c>
      <c r="B53" s="16" t="s">
        <v>61</v>
      </c>
      <c r="C53" s="62">
        <v>9980022200</v>
      </c>
      <c r="D53" s="65" t="s">
        <v>119</v>
      </c>
      <c r="E53" s="75" t="s">
        <v>120</v>
      </c>
      <c r="F53" s="113">
        <f>643.3-3.5</f>
        <v>639.79999999999995</v>
      </c>
      <c r="G53" s="113">
        <v>643.29999999999995</v>
      </c>
      <c r="H53" s="113">
        <v>643.29999999999995</v>
      </c>
    </row>
    <row r="54" spans="1:8" ht="25.5" x14ac:dyDescent="0.2">
      <c r="A54" s="16" t="s">
        <v>53</v>
      </c>
      <c r="B54" s="16" t="s">
        <v>61</v>
      </c>
      <c r="C54" s="62">
        <v>9980022200</v>
      </c>
      <c r="D54" s="65" t="s">
        <v>96</v>
      </c>
      <c r="E54" s="75" t="s">
        <v>97</v>
      </c>
      <c r="F54" s="113">
        <v>3.5</v>
      </c>
      <c r="G54" s="113">
        <v>0</v>
      </c>
      <c r="H54" s="113">
        <v>0</v>
      </c>
    </row>
    <row r="55" spans="1:8" ht="25.5" x14ac:dyDescent="0.2">
      <c r="A55" s="16" t="s">
        <v>53</v>
      </c>
      <c r="B55" s="16" t="s">
        <v>61</v>
      </c>
      <c r="C55" s="62">
        <v>9990022350</v>
      </c>
      <c r="D55" s="16"/>
      <c r="E55" s="75" t="s">
        <v>191</v>
      </c>
      <c r="F55" s="113">
        <f>F56</f>
        <v>1805.9</v>
      </c>
      <c r="G55" s="113">
        <f>G56</f>
        <v>1805.9</v>
      </c>
      <c r="H55" s="113">
        <f>H56</f>
        <v>1805.9</v>
      </c>
    </row>
    <row r="56" spans="1:8" ht="38.25" x14ac:dyDescent="0.2">
      <c r="A56" s="16" t="s">
        <v>53</v>
      </c>
      <c r="B56" s="16" t="s">
        <v>61</v>
      </c>
      <c r="C56" s="62">
        <v>9990022350</v>
      </c>
      <c r="D56" s="16" t="s">
        <v>40</v>
      </c>
      <c r="E56" s="76" t="s">
        <v>47</v>
      </c>
      <c r="F56" s="113">
        <f>1504.7+301.2</f>
        <v>1805.9</v>
      </c>
      <c r="G56" s="113">
        <f t="shared" ref="G56:H56" si="9">1504.7+301.2</f>
        <v>1805.9</v>
      </c>
      <c r="H56" s="113">
        <f t="shared" si="9"/>
        <v>1805.9</v>
      </c>
    </row>
    <row r="57" spans="1:8" ht="25.5" x14ac:dyDescent="0.2">
      <c r="A57" s="16" t="s">
        <v>53</v>
      </c>
      <c r="B57" s="16" t="s">
        <v>61</v>
      </c>
      <c r="C57" s="62">
        <v>9990022300</v>
      </c>
      <c r="D57" s="19"/>
      <c r="E57" s="76" t="s">
        <v>517</v>
      </c>
      <c r="F57" s="113">
        <f>F58+F59</f>
        <v>1153.4000000000001</v>
      </c>
      <c r="G57" s="113">
        <f t="shared" ref="G57:H57" si="10">G58+G59</f>
        <v>1153.4000000000001</v>
      </c>
      <c r="H57" s="113">
        <f t="shared" si="10"/>
        <v>1153.4000000000001</v>
      </c>
    </row>
    <row r="58" spans="1:8" ht="38.25" x14ac:dyDescent="0.2">
      <c r="A58" s="16" t="s">
        <v>53</v>
      </c>
      <c r="B58" s="16" t="s">
        <v>61</v>
      </c>
      <c r="C58" s="62">
        <v>9990022300</v>
      </c>
      <c r="D58" s="16" t="s">
        <v>40</v>
      </c>
      <c r="E58" s="76" t="s">
        <v>47</v>
      </c>
      <c r="F58" s="113">
        <f>870.9+196</f>
        <v>1066.9000000000001</v>
      </c>
      <c r="G58" s="113">
        <f t="shared" ref="G58:H58" si="11">870.9+196</f>
        <v>1066.9000000000001</v>
      </c>
      <c r="H58" s="113">
        <f t="shared" si="11"/>
        <v>1066.9000000000001</v>
      </c>
    </row>
    <row r="59" spans="1:8" ht="38.25" x14ac:dyDescent="0.2">
      <c r="A59" s="16" t="s">
        <v>53</v>
      </c>
      <c r="B59" s="16" t="s">
        <v>61</v>
      </c>
      <c r="C59" s="62">
        <v>9990022300</v>
      </c>
      <c r="D59" s="65" t="s">
        <v>119</v>
      </c>
      <c r="E59" s="75" t="s">
        <v>120</v>
      </c>
      <c r="F59" s="113">
        <v>86.5</v>
      </c>
      <c r="G59" s="113">
        <v>86.5</v>
      </c>
      <c r="H59" s="113">
        <v>86.5</v>
      </c>
    </row>
    <row r="60" spans="1:8" ht="14.25" x14ac:dyDescent="0.2">
      <c r="A60" s="33" t="s">
        <v>53</v>
      </c>
      <c r="B60" s="33" t="s">
        <v>67</v>
      </c>
      <c r="C60" s="33"/>
      <c r="D60" s="33"/>
      <c r="E60" s="25" t="s">
        <v>3</v>
      </c>
      <c r="F60" s="113">
        <f>F61</f>
        <v>810.40000000000009</v>
      </c>
      <c r="G60" s="113">
        <f t="shared" ref="G60:H60" si="12">G61</f>
        <v>1000</v>
      </c>
      <c r="H60" s="113">
        <f t="shared" si="12"/>
        <v>1000</v>
      </c>
    </row>
    <row r="61" spans="1:8" ht="25.5" x14ac:dyDescent="0.2">
      <c r="A61" s="16" t="s">
        <v>53</v>
      </c>
      <c r="B61" s="16" t="s">
        <v>67</v>
      </c>
      <c r="C61" s="62">
        <v>9900000000</v>
      </c>
      <c r="D61" s="16"/>
      <c r="E61" s="48" t="s">
        <v>104</v>
      </c>
      <c r="F61" s="162">
        <f t="shared" ref="F61:H62" si="13">F62</f>
        <v>810.40000000000009</v>
      </c>
      <c r="G61" s="162">
        <f t="shared" si="13"/>
        <v>1000</v>
      </c>
      <c r="H61" s="162">
        <f t="shared" si="13"/>
        <v>1000</v>
      </c>
    </row>
    <row r="62" spans="1:8" ht="25.5" x14ac:dyDescent="0.2">
      <c r="A62" s="16" t="s">
        <v>53</v>
      </c>
      <c r="B62" s="16" t="s">
        <v>67</v>
      </c>
      <c r="C62" s="62">
        <v>9920026100</v>
      </c>
      <c r="D62" s="19"/>
      <c r="E62" s="76" t="s">
        <v>9</v>
      </c>
      <c r="F62" s="113">
        <f t="shared" si="13"/>
        <v>810.40000000000009</v>
      </c>
      <c r="G62" s="113">
        <f t="shared" si="13"/>
        <v>1000</v>
      </c>
      <c r="H62" s="113">
        <f t="shared" si="13"/>
        <v>1000</v>
      </c>
    </row>
    <row r="63" spans="1:8" s="30" customFormat="1" ht="14.25" x14ac:dyDescent="0.2">
      <c r="A63" s="16" t="s">
        <v>53</v>
      </c>
      <c r="B63" s="16" t="s">
        <v>67</v>
      </c>
      <c r="C63" s="62">
        <v>9920026100</v>
      </c>
      <c r="D63" s="16" t="s">
        <v>49</v>
      </c>
      <c r="E63" s="75" t="s">
        <v>50</v>
      </c>
      <c r="F63" s="113">
        <f>1000-50+1000-709.6-150-65-175-40</f>
        <v>810.40000000000009</v>
      </c>
      <c r="G63" s="113">
        <v>1000</v>
      </c>
      <c r="H63" s="113">
        <v>1000</v>
      </c>
    </row>
    <row r="64" spans="1:8" s="30" customFormat="1" ht="25.5" x14ac:dyDescent="0.2">
      <c r="A64" s="28" t="s">
        <v>53</v>
      </c>
      <c r="B64" s="28" t="s">
        <v>7</v>
      </c>
      <c r="C64" s="31"/>
      <c r="D64" s="31"/>
      <c r="E64" s="40" t="s">
        <v>62</v>
      </c>
      <c r="F64" s="160">
        <f>F65+F79</f>
        <v>99706.599999999991</v>
      </c>
      <c r="G64" s="160">
        <f t="shared" ref="G64:H64" si="14">G65+G79</f>
        <v>78793.3</v>
      </c>
      <c r="H64" s="160">
        <f t="shared" si="14"/>
        <v>73536.800000000003</v>
      </c>
    </row>
    <row r="65" spans="1:8" s="30" customFormat="1" ht="106.5" customHeight="1" x14ac:dyDescent="0.2">
      <c r="A65" s="16" t="s">
        <v>53</v>
      </c>
      <c r="B65" s="16" t="s">
        <v>7</v>
      </c>
      <c r="C65" s="57" t="s">
        <v>45</v>
      </c>
      <c r="D65" s="16"/>
      <c r="E65" s="126" t="s">
        <v>206</v>
      </c>
      <c r="F65" s="86">
        <f>F66+F68+F70+F72+F75+F77</f>
        <v>14025.399999999998</v>
      </c>
      <c r="G65" s="86">
        <f t="shared" ref="G65:H65" si="15">G66+G68+G70+G72+G75+G77</f>
        <v>12200.3</v>
      </c>
      <c r="H65" s="86">
        <f t="shared" si="15"/>
        <v>6941.2999999999993</v>
      </c>
    </row>
    <row r="66" spans="1:8" s="30" customFormat="1" ht="38.25" customHeight="1" x14ac:dyDescent="0.2">
      <c r="A66" s="16" t="s">
        <v>53</v>
      </c>
      <c r="B66" s="16" t="s">
        <v>7</v>
      </c>
      <c r="C66" s="65" t="s">
        <v>312</v>
      </c>
      <c r="D66" s="16"/>
      <c r="E66" s="106" t="s">
        <v>363</v>
      </c>
      <c r="F66" s="82">
        <f t="shared" ref="F66:H66" si="16">F67</f>
        <v>300</v>
      </c>
      <c r="G66" s="82">
        <f t="shared" si="16"/>
        <v>200</v>
      </c>
      <c r="H66" s="82">
        <f t="shared" si="16"/>
        <v>200</v>
      </c>
    </row>
    <row r="67" spans="1:8" s="30" customFormat="1" ht="38.25" x14ac:dyDescent="0.2">
      <c r="A67" s="16" t="s">
        <v>53</v>
      </c>
      <c r="B67" s="16" t="s">
        <v>7</v>
      </c>
      <c r="C67" s="65" t="s">
        <v>312</v>
      </c>
      <c r="D67" s="65" t="s">
        <v>119</v>
      </c>
      <c r="E67" s="75" t="s">
        <v>120</v>
      </c>
      <c r="F67" s="82">
        <v>300</v>
      </c>
      <c r="G67" s="82">
        <v>200</v>
      </c>
      <c r="H67" s="82">
        <v>200</v>
      </c>
    </row>
    <row r="68" spans="1:8" s="30" customFormat="1" ht="51" customHeight="1" x14ac:dyDescent="0.2">
      <c r="A68" s="16" t="s">
        <v>53</v>
      </c>
      <c r="B68" s="16" t="s">
        <v>7</v>
      </c>
      <c r="C68" s="97" t="s">
        <v>313</v>
      </c>
      <c r="D68" s="16"/>
      <c r="E68" s="74" t="s">
        <v>360</v>
      </c>
      <c r="F68" s="82">
        <f>F69</f>
        <v>100</v>
      </c>
      <c r="G68" s="82">
        <f>G69</f>
        <v>100</v>
      </c>
      <c r="H68" s="82">
        <f>H69</f>
        <v>100</v>
      </c>
    </row>
    <row r="69" spans="1:8" s="30" customFormat="1" ht="38.25" x14ac:dyDescent="0.2">
      <c r="A69" s="16" t="s">
        <v>53</v>
      </c>
      <c r="B69" s="16" t="s">
        <v>7</v>
      </c>
      <c r="C69" s="97" t="s">
        <v>313</v>
      </c>
      <c r="D69" s="65" t="s">
        <v>119</v>
      </c>
      <c r="E69" s="75" t="s">
        <v>120</v>
      </c>
      <c r="F69" s="82">
        <v>100</v>
      </c>
      <c r="G69" s="82">
        <v>100</v>
      </c>
      <c r="H69" s="82">
        <v>100</v>
      </c>
    </row>
    <row r="70" spans="1:8" s="30" customFormat="1" ht="90" customHeight="1" x14ac:dyDescent="0.2">
      <c r="A70" s="16" t="s">
        <v>53</v>
      </c>
      <c r="B70" s="16" t="s">
        <v>7</v>
      </c>
      <c r="C70" s="97" t="s">
        <v>315</v>
      </c>
      <c r="D70" s="16"/>
      <c r="E70" s="74" t="s">
        <v>314</v>
      </c>
      <c r="F70" s="82">
        <f>F71</f>
        <v>291.39999999999998</v>
      </c>
      <c r="G70" s="82">
        <f>G71</f>
        <v>291.39999999999998</v>
      </c>
      <c r="H70" s="82">
        <f>H71</f>
        <v>291.39999999999998</v>
      </c>
    </row>
    <row r="71" spans="1:8" s="30" customFormat="1" ht="38.25" x14ac:dyDescent="0.2">
      <c r="A71" s="16" t="s">
        <v>53</v>
      </c>
      <c r="B71" s="16" t="s">
        <v>7</v>
      </c>
      <c r="C71" s="97" t="s">
        <v>315</v>
      </c>
      <c r="D71" s="65" t="s">
        <v>119</v>
      </c>
      <c r="E71" s="75" t="s">
        <v>120</v>
      </c>
      <c r="F71" s="82">
        <v>291.39999999999998</v>
      </c>
      <c r="G71" s="82">
        <v>291.39999999999998</v>
      </c>
      <c r="H71" s="82">
        <v>291.39999999999998</v>
      </c>
    </row>
    <row r="72" spans="1:8" s="30" customFormat="1" ht="40.5" customHeight="1" x14ac:dyDescent="0.2">
      <c r="A72" s="16" t="s">
        <v>53</v>
      </c>
      <c r="B72" s="16" t="s">
        <v>7</v>
      </c>
      <c r="C72" s="58">
        <v>350123180</v>
      </c>
      <c r="D72" s="16"/>
      <c r="E72" s="138" t="s">
        <v>364</v>
      </c>
      <c r="F72" s="82">
        <f>SUM(F73:F74)</f>
        <v>8091.9999999999982</v>
      </c>
      <c r="G72" s="82">
        <f t="shared" ref="G72:H72" si="17">SUM(G73:G74)</f>
        <v>11608.9</v>
      </c>
      <c r="H72" s="82">
        <f t="shared" si="17"/>
        <v>6349.9</v>
      </c>
    </row>
    <row r="73" spans="1:8" s="30" customFormat="1" ht="38.25" x14ac:dyDescent="0.2">
      <c r="A73" s="16" t="s">
        <v>53</v>
      </c>
      <c r="B73" s="16" t="s">
        <v>7</v>
      </c>
      <c r="C73" s="58">
        <v>350123180</v>
      </c>
      <c r="D73" s="65" t="s">
        <v>119</v>
      </c>
      <c r="E73" s="75" t="s">
        <v>120</v>
      </c>
      <c r="F73" s="82">
        <f>6349.9+2060.5-100+221.3-289.6-150.1-19.8</f>
        <v>8072.199999999998</v>
      </c>
      <c r="G73" s="82">
        <v>11608.9</v>
      </c>
      <c r="H73" s="82">
        <v>6349.9</v>
      </c>
    </row>
    <row r="74" spans="1:8" s="30" customFormat="1" ht="25.5" x14ac:dyDescent="0.2">
      <c r="A74" s="16" t="s">
        <v>53</v>
      </c>
      <c r="B74" s="16" t="s">
        <v>7</v>
      </c>
      <c r="C74" s="58">
        <v>350123180</v>
      </c>
      <c r="D74" s="65" t="s">
        <v>96</v>
      </c>
      <c r="E74" s="75" t="s">
        <v>97</v>
      </c>
      <c r="F74" s="82">
        <v>19.8</v>
      </c>
      <c r="G74" s="82">
        <v>0</v>
      </c>
      <c r="H74" s="82">
        <v>0</v>
      </c>
    </row>
    <row r="75" spans="1:8" s="30" customFormat="1" ht="51" customHeight="1" x14ac:dyDescent="0.2">
      <c r="A75" s="16" t="s">
        <v>53</v>
      </c>
      <c r="B75" s="16" t="s">
        <v>7</v>
      </c>
      <c r="C75" s="19" t="s">
        <v>523</v>
      </c>
      <c r="D75" s="33"/>
      <c r="E75" s="74" t="s">
        <v>361</v>
      </c>
      <c r="F75" s="113">
        <f>F76</f>
        <v>892.4</v>
      </c>
      <c r="G75" s="113">
        <f t="shared" ref="G75:H75" si="18">G76</f>
        <v>0</v>
      </c>
      <c r="H75" s="113">
        <f t="shared" si="18"/>
        <v>0</v>
      </c>
    </row>
    <row r="76" spans="1:8" s="30" customFormat="1" ht="38.25" x14ac:dyDescent="0.2">
      <c r="A76" s="16" t="s">
        <v>53</v>
      </c>
      <c r="B76" s="16" t="s">
        <v>7</v>
      </c>
      <c r="C76" s="19" t="s">
        <v>523</v>
      </c>
      <c r="D76" s="65" t="s">
        <v>119</v>
      </c>
      <c r="E76" s="75" t="s">
        <v>120</v>
      </c>
      <c r="F76" s="113">
        <f>1414.8-417.9-104.5</f>
        <v>892.4</v>
      </c>
      <c r="G76" s="113">
        <v>0</v>
      </c>
      <c r="H76" s="113">
        <v>0</v>
      </c>
    </row>
    <row r="77" spans="1:8" s="30" customFormat="1" ht="69" customHeight="1" x14ac:dyDescent="0.2">
      <c r="A77" s="16" t="s">
        <v>53</v>
      </c>
      <c r="B77" s="16" t="s">
        <v>7</v>
      </c>
      <c r="C77" s="19" t="s">
        <v>524</v>
      </c>
      <c r="D77" s="33"/>
      <c r="E77" s="74" t="s">
        <v>362</v>
      </c>
      <c r="F77" s="82">
        <f>F78</f>
        <v>4349.6000000000004</v>
      </c>
      <c r="G77" s="82">
        <f t="shared" ref="G77:H77" si="19">G78</f>
        <v>0</v>
      </c>
      <c r="H77" s="82">
        <f t="shared" si="19"/>
        <v>0</v>
      </c>
    </row>
    <row r="78" spans="1:8" s="30" customFormat="1" ht="38.25" x14ac:dyDescent="0.2">
      <c r="A78" s="16" t="s">
        <v>53</v>
      </c>
      <c r="B78" s="16" t="s">
        <v>7</v>
      </c>
      <c r="C78" s="19" t="s">
        <v>524</v>
      </c>
      <c r="D78" s="65" t="s">
        <v>119</v>
      </c>
      <c r="E78" s="75" t="s">
        <v>120</v>
      </c>
      <c r="F78" s="113">
        <f>8083.7-1984-1750.1</f>
        <v>4349.6000000000004</v>
      </c>
      <c r="G78" s="113">
        <v>0</v>
      </c>
      <c r="H78" s="113">
        <v>0</v>
      </c>
    </row>
    <row r="79" spans="1:8" s="30" customFormat="1" ht="25.5" x14ac:dyDescent="0.2">
      <c r="A79" s="5" t="s">
        <v>53</v>
      </c>
      <c r="B79" s="5" t="s">
        <v>7</v>
      </c>
      <c r="C79" s="66">
        <v>9900000000</v>
      </c>
      <c r="D79" s="5"/>
      <c r="E79" s="67" t="s">
        <v>104</v>
      </c>
      <c r="F79" s="86">
        <f>F80+F83+F87+F90+F95</f>
        <v>85681.2</v>
      </c>
      <c r="G79" s="86">
        <f t="shared" ref="G79:H79" si="20">G80+G83+G87+G90+G95</f>
        <v>66593</v>
      </c>
      <c r="H79" s="86">
        <f t="shared" si="20"/>
        <v>66595.5</v>
      </c>
    </row>
    <row r="80" spans="1:8" s="30" customFormat="1" ht="39.75" customHeight="1" x14ac:dyDescent="0.2">
      <c r="A80" s="16" t="s">
        <v>53</v>
      </c>
      <c r="B80" s="16" t="s">
        <v>7</v>
      </c>
      <c r="C80" s="62">
        <v>9930010540</v>
      </c>
      <c r="D80" s="16"/>
      <c r="E80" s="20" t="s">
        <v>14</v>
      </c>
      <c r="F80" s="113">
        <f>F81+F82</f>
        <v>491.4</v>
      </c>
      <c r="G80" s="113">
        <f>G81+G82</f>
        <v>493.9</v>
      </c>
      <c r="H80" s="113">
        <f>H81+H82</f>
        <v>496.4</v>
      </c>
    </row>
    <row r="81" spans="1:8" s="30" customFormat="1" ht="38.25" x14ac:dyDescent="0.2">
      <c r="A81" s="16" t="s">
        <v>53</v>
      </c>
      <c r="B81" s="16" t="s">
        <v>7</v>
      </c>
      <c r="C81" s="62">
        <v>9930010540</v>
      </c>
      <c r="D81" s="16" t="s">
        <v>40</v>
      </c>
      <c r="E81" s="77" t="s">
        <v>41</v>
      </c>
      <c r="F81" s="113">
        <f>329.9+68</f>
        <v>397.9</v>
      </c>
      <c r="G81" s="113">
        <v>329.9</v>
      </c>
      <c r="H81" s="113">
        <v>329.9</v>
      </c>
    </row>
    <row r="82" spans="1:8" ht="38.25" x14ac:dyDescent="0.2">
      <c r="A82" s="16" t="s">
        <v>53</v>
      </c>
      <c r="B82" s="16" t="s">
        <v>7</v>
      </c>
      <c r="C82" s="62">
        <v>9930010540</v>
      </c>
      <c r="D82" s="65" t="s">
        <v>119</v>
      </c>
      <c r="E82" s="75" t="s">
        <v>120</v>
      </c>
      <c r="F82" s="113">
        <f>161.5-68</f>
        <v>93.5</v>
      </c>
      <c r="G82" s="113">
        <v>164</v>
      </c>
      <c r="H82" s="113">
        <v>166.5</v>
      </c>
    </row>
    <row r="83" spans="1:8" ht="25.5" x14ac:dyDescent="0.2">
      <c r="A83" s="16" t="s">
        <v>53</v>
      </c>
      <c r="B83" s="16" t="s">
        <v>7</v>
      </c>
      <c r="C83" s="65" t="s">
        <v>175</v>
      </c>
      <c r="D83" s="16"/>
      <c r="E83" s="76" t="s">
        <v>29</v>
      </c>
      <c r="F83" s="113">
        <f>SUM(F84:F86)</f>
        <v>11148.499999999998</v>
      </c>
      <c r="G83" s="113">
        <f t="shared" ref="G83:H83" si="21">SUM(G84:G86)</f>
        <v>1133.5999999999999</v>
      </c>
      <c r="H83" s="113">
        <f t="shared" si="21"/>
        <v>1133.5999999999999</v>
      </c>
    </row>
    <row r="84" spans="1:8" ht="38.25" x14ac:dyDescent="0.2">
      <c r="A84" s="16" t="s">
        <v>53</v>
      </c>
      <c r="B84" s="16" t="s">
        <v>7</v>
      </c>
      <c r="C84" s="65" t="s">
        <v>175</v>
      </c>
      <c r="D84" s="65" t="s">
        <v>119</v>
      </c>
      <c r="E84" s="75" t="s">
        <v>120</v>
      </c>
      <c r="F84" s="113">
        <f>391.6-5.3</f>
        <v>386.3</v>
      </c>
      <c r="G84" s="113">
        <v>391.6</v>
      </c>
      <c r="H84" s="113">
        <v>391.6</v>
      </c>
    </row>
    <row r="85" spans="1:8" x14ac:dyDescent="0.2">
      <c r="A85" s="16" t="s">
        <v>53</v>
      </c>
      <c r="B85" s="16" t="s">
        <v>7</v>
      </c>
      <c r="C85" s="65" t="s">
        <v>175</v>
      </c>
      <c r="D85" s="65" t="s">
        <v>587</v>
      </c>
      <c r="E85" s="75" t="s">
        <v>588</v>
      </c>
      <c r="F85" s="113">
        <f>120+167.7+71.3+20</f>
        <v>379</v>
      </c>
      <c r="G85" s="113">
        <v>0</v>
      </c>
      <c r="H85" s="113">
        <v>0</v>
      </c>
    </row>
    <row r="86" spans="1:8" ht="25.5" x14ac:dyDescent="0.2">
      <c r="A86" s="16" t="s">
        <v>53</v>
      </c>
      <c r="B86" s="16" t="s">
        <v>7</v>
      </c>
      <c r="C86" s="65" t="s">
        <v>175</v>
      </c>
      <c r="D86" s="65" t="s">
        <v>96</v>
      </c>
      <c r="E86" s="75" t="s">
        <v>97</v>
      </c>
      <c r="F86" s="113">
        <f>742+6506-66+50+1400-20+835.4+935.8</f>
        <v>10383.199999999999</v>
      </c>
      <c r="G86" s="113">
        <v>742</v>
      </c>
      <c r="H86" s="113">
        <v>742</v>
      </c>
    </row>
    <row r="87" spans="1:8" s="30" customFormat="1" ht="38.25" x14ac:dyDescent="0.2">
      <c r="A87" s="16" t="s">
        <v>53</v>
      </c>
      <c r="B87" s="16" t="s">
        <v>7</v>
      </c>
      <c r="C87" s="19" t="s">
        <v>176</v>
      </c>
      <c r="D87" s="41"/>
      <c r="E87" s="47" t="s">
        <v>132</v>
      </c>
      <c r="F87" s="82">
        <f>SUM(F88:F89)</f>
        <v>15058.1</v>
      </c>
      <c r="G87" s="82">
        <f>SUM(G88:G89)</f>
        <v>15122.5</v>
      </c>
      <c r="H87" s="82">
        <f>SUM(H88:H89)</f>
        <v>15122.5</v>
      </c>
    </row>
    <row r="88" spans="1:8" s="30" customFormat="1" ht="25.5" x14ac:dyDescent="0.2">
      <c r="A88" s="16" t="s">
        <v>53</v>
      </c>
      <c r="B88" s="16" t="s">
        <v>7</v>
      </c>
      <c r="C88" s="19" t="s">
        <v>176</v>
      </c>
      <c r="D88" s="16" t="s">
        <v>42</v>
      </c>
      <c r="E88" s="77" t="s">
        <v>95</v>
      </c>
      <c r="F88" s="82">
        <f>11898.5+2405.5</f>
        <v>14304</v>
      </c>
      <c r="G88" s="82">
        <f t="shared" ref="G88:H88" si="22">11898.5+2405.5</f>
        <v>14304</v>
      </c>
      <c r="H88" s="82">
        <f t="shared" si="22"/>
        <v>14304</v>
      </c>
    </row>
    <row r="89" spans="1:8" s="30" customFormat="1" ht="38.25" x14ac:dyDescent="0.2">
      <c r="A89" s="16" t="s">
        <v>53</v>
      </c>
      <c r="B89" s="16" t="s">
        <v>7</v>
      </c>
      <c r="C89" s="19" t="s">
        <v>176</v>
      </c>
      <c r="D89" s="65" t="s">
        <v>119</v>
      </c>
      <c r="E89" s="75" t="s">
        <v>120</v>
      </c>
      <c r="F89" s="82">
        <f>818.5-64.4</f>
        <v>754.1</v>
      </c>
      <c r="G89" s="82">
        <v>818.5</v>
      </c>
      <c r="H89" s="82">
        <v>818.5</v>
      </c>
    </row>
    <row r="90" spans="1:8" s="30" customFormat="1" ht="54.75" customHeight="1" x14ac:dyDescent="0.2">
      <c r="A90" s="16" t="s">
        <v>53</v>
      </c>
      <c r="B90" s="16" t="s">
        <v>7</v>
      </c>
      <c r="C90" s="19" t="s">
        <v>178</v>
      </c>
      <c r="D90" s="41"/>
      <c r="E90" s="47" t="s">
        <v>177</v>
      </c>
      <c r="F90" s="82">
        <f>SUM(F91:F94)</f>
        <v>58953.2</v>
      </c>
      <c r="G90" s="82">
        <f>SUM(G91:G94)</f>
        <v>49843</v>
      </c>
      <c r="H90" s="82">
        <f>SUM(H91:H94)</f>
        <v>49843</v>
      </c>
    </row>
    <row r="91" spans="1:8" s="30" customFormat="1" ht="25.5" x14ac:dyDescent="0.2">
      <c r="A91" s="16" t="s">
        <v>53</v>
      </c>
      <c r="B91" s="16" t="s">
        <v>7</v>
      </c>
      <c r="C91" s="19" t="s">
        <v>178</v>
      </c>
      <c r="D91" s="16" t="s">
        <v>42</v>
      </c>
      <c r="E91" s="77" t="s">
        <v>95</v>
      </c>
      <c r="F91" s="82">
        <f>13674+2210.9-105.5</f>
        <v>15779.4</v>
      </c>
      <c r="G91" s="82">
        <f t="shared" ref="G91:H91" si="23">13674+2210.9</f>
        <v>15884.9</v>
      </c>
      <c r="H91" s="82">
        <f t="shared" si="23"/>
        <v>15884.9</v>
      </c>
    </row>
    <row r="92" spans="1:8" s="30" customFormat="1" ht="38.25" x14ac:dyDescent="0.2">
      <c r="A92" s="16" t="s">
        <v>53</v>
      </c>
      <c r="B92" s="16" t="s">
        <v>7</v>
      </c>
      <c r="C92" s="19" t="s">
        <v>178</v>
      </c>
      <c r="D92" s="65" t="s">
        <v>119</v>
      </c>
      <c r="E92" s="75" t="s">
        <v>120</v>
      </c>
      <c r="F92" s="82">
        <f>33878.1+137.5+5880+3092.7</f>
        <v>42988.299999999996</v>
      </c>
      <c r="G92" s="82">
        <v>33878.1</v>
      </c>
      <c r="H92" s="82">
        <v>33878.1</v>
      </c>
    </row>
    <row r="93" spans="1:8" s="30" customFormat="1" ht="38.25" x14ac:dyDescent="0.2">
      <c r="A93" s="16" t="s">
        <v>53</v>
      </c>
      <c r="B93" s="16" t="s">
        <v>7</v>
      </c>
      <c r="C93" s="19" t="s">
        <v>178</v>
      </c>
      <c r="D93" s="65" t="s">
        <v>126</v>
      </c>
      <c r="E93" s="217" t="s">
        <v>125</v>
      </c>
      <c r="F93" s="215">
        <v>105.5</v>
      </c>
      <c r="G93" s="82">
        <v>0</v>
      </c>
      <c r="H93" s="82">
        <v>0</v>
      </c>
    </row>
    <row r="94" spans="1:8" s="30" customFormat="1" ht="25.5" x14ac:dyDescent="0.2">
      <c r="A94" s="16" t="s">
        <v>53</v>
      </c>
      <c r="B94" s="16" t="s">
        <v>7</v>
      </c>
      <c r="C94" s="19" t="s">
        <v>178</v>
      </c>
      <c r="D94" s="65" t="s">
        <v>96</v>
      </c>
      <c r="E94" s="216" t="s">
        <v>97</v>
      </c>
      <c r="F94" s="82">
        <v>80</v>
      </c>
      <c r="G94" s="82">
        <v>80</v>
      </c>
      <c r="H94" s="82">
        <v>80</v>
      </c>
    </row>
    <row r="95" spans="1:8" s="30" customFormat="1" ht="50.25" customHeight="1" x14ac:dyDescent="0.2">
      <c r="A95" s="16" t="s">
        <v>53</v>
      </c>
      <c r="B95" s="16" t="s">
        <v>7</v>
      </c>
      <c r="C95" s="19" t="s">
        <v>556</v>
      </c>
      <c r="D95" s="65"/>
      <c r="E95" s="75" t="s">
        <v>552</v>
      </c>
      <c r="F95" s="82">
        <f>F96</f>
        <v>30</v>
      </c>
      <c r="G95" s="82">
        <f t="shared" ref="G95:H95" si="24">G96</f>
        <v>0</v>
      </c>
      <c r="H95" s="82">
        <f t="shared" si="24"/>
        <v>0</v>
      </c>
    </row>
    <row r="96" spans="1:8" s="30" customFormat="1" ht="38.25" x14ac:dyDescent="0.2">
      <c r="A96" s="16" t="s">
        <v>53</v>
      </c>
      <c r="B96" s="16" t="s">
        <v>7</v>
      </c>
      <c r="C96" s="19" t="s">
        <v>556</v>
      </c>
      <c r="D96" s="65" t="s">
        <v>119</v>
      </c>
      <c r="E96" s="75" t="s">
        <v>120</v>
      </c>
      <c r="F96" s="82">
        <v>30</v>
      </c>
      <c r="G96" s="82">
        <v>0</v>
      </c>
      <c r="H96" s="82">
        <v>0</v>
      </c>
    </row>
    <row r="97" spans="1:8" s="30" customFormat="1" ht="15.75" x14ac:dyDescent="0.25">
      <c r="A97" s="4" t="s">
        <v>54</v>
      </c>
      <c r="B97" s="16"/>
      <c r="C97" s="19"/>
      <c r="D97" s="65"/>
      <c r="E97" s="144" t="s">
        <v>374</v>
      </c>
      <c r="F97" s="86">
        <f>F98</f>
        <v>595.6</v>
      </c>
      <c r="G97" s="86">
        <f t="shared" ref="G97:H99" si="25">G98</f>
        <v>660.1</v>
      </c>
      <c r="H97" s="86">
        <f t="shared" si="25"/>
        <v>830.1</v>
      </c>
    </row>
    <row r="98" spans="1:8" s="30" customFormat="1" ht="25.5" x14ac:dyDescent="0.2">
      <c r="A98" s="41" t="s">
        <v>54</v>
      </c>
      <c r="B98" s="41" t="s">
        <v>58</v>
      </c>
      <c r="C98" s="46"/>
      <c r="D98" s="41"/>
      <c r="E98" s="51" t="s">
        <v>375</v>
      </c>
      <c r="F98" s="88">
        <f>F99</f>
        <v>595.6</v>
      </c>
      <c r="G98" s="88">
        <f t="shared" si="25"/>
        <v>660.1</v>
      </c>
      <c r="H98" s="88">
        <f t="shared" si="25"/>
        <v>830.1</v>
      </c>
    </row>
    <row r="99" spans="1:8" s="30" customFormat="1" ht="25.5" x14ac:dyDescent="0.2">
      <c r="A99" s="65" t="s">
        <v>54</v>
      </c>
      <c r="B99" s="65" t="s">
        <v>58</v>
      </c>
      <c r="C99" s="62">
        <v>9900000000</v>
      </c>
      <c r="D99" s="32"/>
      <c r="E99" s="48" t="s">
        <v>104</v>
      </c>
      <c r="F99" s="82">
        <f>F100</f>
        <v>595.6</v>
      </c>
      <c r="G99" s="82">
        <f t="shared" si="25"/>
        <v>660.1</v>
      </c>
      <c r="H99" s="82">
        <f t="shared" si="25"/>
        <v>830.1</v>
      </c>
    </row>
    <row r="100" spans="1:8" s="30" customFormat="1" ht="25.5" x14ac:dyDescent="0.2">
      <c r="A100" s="65" t="s">
        <v>54</v>
      </c>
      <c r="B100" s="65" t="s">
        <v>58</v>
      </c>
      <c r="C100" s="62">
        <v>9930051180</v>
      </c>
      <c r="D100" s="16"/>
      <c r="E100" s="76" t="s">
        <v>376</v>
      </c>
      <c r="F100" s="82">
        <f>F101+F102</f>
        <v>595.6</v>
      </c>
      <c r="G100" s="82">
        <f t="shared" ref="G100:H100" si="26">G101+G102</f>
        <v>660.1</v>
      </c>
      <c r="H100" s="82">
        <f t="shared" si="26"/>
        <v>830.1</v>
      </c>
    </row>
    <row r="101" spans="1:8" s="30" customFormat="1" ht="38.25" x14ac:dyDescent="0.2">
      <c r="A101" s="65" t="s">
        <v>54</v>
      </c>
      <c r="B101" s="65" t="s">
        <v>58</v>
      </c>
      <c r="C101" s="62">
        <v>9930051180</v>
      </c>
      <c r="D101" s="16" t="s">
        <v>40</v>
      </c>
      <c r="E101" s="77" t="s">
        <v>41</v>
      </c>
      <c r="F101" s="82">
        <f>498.1+97.5</f>
        <v>595.6</v>
      </c>
      <c r="G101" s="82">
        <v>562.6</v>
      </c>
      <c r="H101" s="82">
        <v>732.6</v>
      </c>
    </row>
    <row r="102" spans="1:8" s="30" customFormat="1" ht="38.25" x14ac:dyDescent="0.2">
      <c r="A102" s="65" t="s">
        <v>54</v>
      </c>
      <c r="B102" s="65" t="s">
        <v>58</v>
      </c>
      <c r="C102" s="62">
        <v>9930051180</v>
      </c>
      <c r="D102" s="65" t="s">
        <v>119</v>
      </c>
      <c r="E102" s="75" t="s">
        <v>120</v>
      </c>
      <c r="F102" s="82">
        <f>97.5-97.5</f>
        <v>0</v>
      </c>
      <c r="G102" s="82">
        <v>97.5</v>
      </c>
      <c r="H102" s="82">
        <v>97.5</v>
      </c>
    </row>
    <row r="103" spans="1:8" s="30" customFormat="1" ht="45" x14ac:dyDescent="0.25">
      <c r="A103" s="4" t="s">
        <v>58</v>
      </c>
      <c r="B103" s="3"/>
      <c r="C103" s="3"/>
      <c r="D103" s="3"/>
      <c r="E103" s="43" t="s">
        <v>63</v>
      </c>
      <c r="F103" s="156">
        <f>F104+F108+F129</f>
        <v>20104.400000000001</v>
      </c>
      <c r="G103" s="156">
        <f>G104+G108+G129</f>
        <v>13177.1</v>
      </c>
      <c r="H103" s="156">
        <f>H104+H108+H129</f>
        <v>13177.1</v>
      </c>
    </row>
    <row r="104" spans="1:8" s="30" customFormat="1" ht="15" x14ac:dyDescent="0.25">
      <c r="A104" s="26" t="s">
        <v>58</v>
      </c>
      <c r="B104" s="26" t="s">
        <v>59</v>
      </c>
      <c r="C104" s="26"/>
      <c r="D104" s="32"/>
      <c r="E104" s="40" t="s">
        <v>16</v>
      </c>
      <c r="F104" s="160">
        <f>F106</f>
        <v>1705.2</v>
      </c>
      <c r="G104" s="160">
        <f>G106</f>
        <v>1705.2</v>
      </c>
      <c r="H104" s="160">
        <f>H106</f>
        <v>1705.2</v>
      </c>
    </row>
    <row r="105" spans="1:8" s="30" customFormat="1" ht="25.5" x14ac:dyDescent="0.2">
      <c r="A105" s="16" t="s">
        <v>58</v>
      </c>
      <c r="B105" s="16" t="s">
        <v>59</v>
      </c>
      <c r="C105" s="62">
        <v>9900000000</v>
      </c>
      <c r="D105" s="32"/>
      <c r="E105" s="48" t="s">
        <v>104</v>
      </c>
      <c r="F105" s="82">
        <f>F106</f>
        <v>1705.2</v>
      </c>
      <c r="G105" s="82">
        <f>G106</f>
        <v>1705.2</v>
      </c>
      <c r="H105" s="82">
        <f>H106</f>
        <v>1705.2</v>
      </c>
    </row>
    <row r="106" spans="1:8" s="30" customFormat="1" ht="51" x14ac:dyDescent="0.2">
      <c r="A106" s="16" t="s">
        <v>58</v>
      </c>
      <c r="B106" s="16" t="s">
        <v>59</v>
      </c>
      <c r="C106" s="62">
        <v>9930059302</v>
      </c>
      <c r="D106" s="16"/>
      <c r="E106" s="76" t="s">
        <v>153</v>
      </c>
      <c r="F106" s="113">
        <f>SUM(F107:F107)</f>
        <v>1705.2</v>
      </c>
      <c r="G106" s="113">
        <f>SUM(G107:G107)</f>
        <v>1705.2</v>
      </c>
      <c r="H106" s="113">
        <f>SUM(H107:H107)</f>
        <v>1705.2</v>
      </c>
    </row>
    <row r="107" spans="1:8" s="30" customFormat="1" ht="38.25" x14ac:dyDescent="0.2">
      <c r="A107" s="16" t="s">
        <v>58</v>
      </c>
      <c r="B107" s="16" t="s">
        <v>59</v>
      </c>
      <c r="C107" s="62">
        <v>9930059302</v>
      </c>
      <c r="D107" s="16" t="s">
        <v>40</v>
      </c>
      <c r="E107" s="48" t="s">
        <v>41</v>
      </c>
      <c r="F107" s="113">
        <v>1705.2</v>
      </c>
      <c r="G107" s="113">
        <v>1705.2</v>
      </c>
      <c r="H107" s="113">
        <v>1705.2</v>
      </c>
    </row>
    <row r="108" spans="1:8" s="30" customFormat="1" ht="51.75" x14ac:dyDescent="0.25">
      <c r="A108" s="26" t="s">
        <v>58</v>
      </c>
      <c r="B108" s="26" t="s">
        <v>75</v>
      </c>
      <c r="C108" s="26"/>
      <c r="D108" s="32"/>
      <c r="E108" s="42" t="s">
        <v>157</v>
      </c>
      <c r="F108" s="160">
        <f>F109+F121</f>
        <v>18249.2</v>
      </c>
      <c r="G108" s="160">
        <f t="shared" ref="G108:H108" si="27">G109+G121</f>
        <v>11321.9</v>
      </c>
      <c r="H108" s="160">
        <f t="shared" si="27"/>
        <v>11321.9</v>
      </c>
    </row>
    <row r="109" spans="1:8" s="30" customFormat="1" ht="102" x14ac:dyDescent="0.25">
      <c r="A109" s="19" t="s">
        <v>58</v>
      </c>
      <c r="B109" s="19" t="s">
        <v>75</v>
      </c>
      <c r="C109" s="57" t="s">
        <v>44</v>
      </c>
      <c r="D109" s="16"/>
      <c r="E109" s="115" t="s">
        <v>212</v>
      </c>
      <c r="F109" s="158">
        <f>F110+F112+F114+F117+F119</f>
        <v>5607.7</v>
      </c>
      <c r="G109" s="158">
        <f t="shared" ref="G109:H109" si="28">G110+G112+G114+G117+G119</f>
        <v>1495</v>
      </c>
      <c r="H109" s="158">
        <f t="shared" si="28"/>
        <v>1495</v>
      </c>
    </row>
    <row r="110" spans="1:8" s="30" customFormat="1" ht="51" x14ac:dyDescent="0.2">
      <c r="A110" s="19" t="s">
        <v>58</v>
      </c>
      <c r="B110" s="19" t="s">
        <v>75</v>
      </c>
      <c r="C110" s="58">
        <v>950123410</v>
      </c>
      <c r="D110" s="16"/>
      <c r="E110" s="76" t="s">
        <v>367</v>
      </c>
      <c r="F110" s="113">
        <f>F111</f>
        <v>486.4</v>
      </c>
      <c r="G110" s="113">
        <f>G111</f>
        <v>40</v>
      </c>
      <c r="H110" s="113">
        <f>H111</f>
        <v>40</v>
      </c>
    </row>
    <row r="111" spans="1:8" s="30" customFormat="1" ht="38.25" x14ac:dyDescent="0.2">
      <c r="A111" s="19" t="s">
        <v>58</v>
      </c>
      <c r="B111" s="19" t="s">
        <v>75</v>
      </c>
      <c r="C111" s="58">
        <v>950123410</v>
      </c>
      <c r="D111" s="65" t="s">
        <v>119</v>
      </c>
      <c r="E111" s="75" t="s">
        <v>120</v>
      </c>
      <c r="F111" s="113">
        <f>40+446.4</f>
        <v>486.4</v>
      </c>
      <c r="G111" s="113">
        <v>40</v>
      </c>
      <c r="H111" s="113">
        <v>40</v>
      </c>
    </row>
    <row r="112" spans="1:8" s="30" customFormat="1" ht="52.5" customHeight="1" x14ac:dyDescent="0.2">
      <c r="A112" s="19" t="s">
        <v>58</v>
      </c>
      <c r="B112" s="19" t="s">
        <v>75</v>
      </c>
      <c r="C112" s="58">
        <v>950123420</v>
      </c>
      <c r="D112" s="16"/>
      <c r="E112" s="76" t="s">
        <v>369</v>
      </c>
      <c r="F112" s="82">
        <f>F113</f>
        <v>462.8</v>
      </c>
      <c r="G112" s="82">
        <f>G113</f>
        <v>40</v>
      </c>
      <c r="H112" s="82">
        <f>H113</f>
        <v>40</v>
      </c>
    </row>
    <row r="113" spans="1:8" s="30" customFormat="1" ht="38.25" x14ac:dyDescent="0.2">
      <c r="A113" s="19" t="s">
        <v>58</v>
      </c>
      <c r="B113" s="19" t="s">
        <v>75</v>
      </c>
      <c r="C113" s="58">
        <v>950123420</v>
      </c>
      <c r="D113" s="65" t="s">
        <v>119</v>
      </c>
      <c r="E113" s="75" t="s">
        <v>120</v>
      </c>
      <c r="F113" s="113">
        <f>122+340.8</f>
        <v>462.8</v>
      </c>
      <c r="G113" s="113">
        <v>40</v>
      </c>
      <c r="H113" s="113">
        <v>40</v>
      </c>
    </row>
    <row r="114" spans="1:8" s="30" customFormat="1" ht="51" x14ac:dyDescent="0.2">
      <c r="A114" s="19" t="s">
        <v>58</v>
      </c>
      <c r="B114" s="19" t="s">
        <v>75</v>
      </c>
      <c r="C114" s="58">
        <v>950123430</v>
      </c>
      <c r="D114" s="16"/>
      <c r="E114" s="75" t="s">
        <v>370</v>
      </c>
      <c r="F114" s="82">
        <f>SUM(F115:F116)</f>
        <v>4643.5</v>
      </c>
      <c r="G114" s="82">
        <f>SUM(G115:G116)</f>
        <v>1400</v>
      </c>
      <c r="H114" s="82">
        <f>SUM(H115:H116)</f>
        <v>1400</v>
      </c>
    </row>
    <row r="115" spans="1:8" s="30" customFormat="1" ht="25.5" x14ac:dyDescent="0.2">
      <c r="A115" s="19" t="s">
        <v>58</v>
      </c>
      <c r="B115" s="19" t="s">
        <v>75</v>
      </c>
      <c r="C115" s="58">
        <v>950123430</v>
      </c>
      <c r="D115" s="65" t="s">
        <v>42</v>
      </c>
      <c r="E115" s="48" t="s">
        <v>95</v>
      </c>
      <c r="F115" s="82">
        <v>118</v>
      </c>
      <c r="G115" s="82">
        <v>51.2</v>
      </c>
      <c r="H115" s="82">
        <v>51.2</v>
      </c>
    </row>
    <row r="116" spans="1:8" s="30" customFormat="1" ht="38.25" x14ac:dyDescent="0.2">
      <c r="A116" s="19" t="s">
        <v>58</v>
      </c>
      <c r="B116" s="19" t="s">
        <v>75</v>
      </c>
      <c r="C116" s="58">
        <v>950123430</v>
      </c>
      <c r="D116" s="65" t="s">
        <v>119</v>
      </c>
      <c r="E116" s="75" t="s">
        <v>120</v>
      </c>
      <c r="F116" s="82">
        <f>4815.5-290</f>
        <v>4525.5</v>
      </c>
      <c r="G116" s="82">
        <v>1348.8</v>
      </c>
      <c r="H116" s="82">
        <v>1348.8</v>
      </c>
    </row>
    <row r="117" spans="1:8" s="30" customFormat="1" ht="33" customHeight="1" x14ac:dyDescent="0.2">
      <c r="A117" s="19" t="s">
        <v>58</v>
      </c>
      <c r="B117" s="19" t="s">
        <v>75</v>
      </c>
      <c r="C117" s="58">
        <v>950123300</v>
      </c>
      <c r="D117" s="16"/>
      <c r="E117" s="75" t="s">
        <v>302</v>
      </c>
      <c r="F117" s="82">
        <f>F118</f>
        <v>12</v>
      </c>
      <c r="G117" s="82">
        <f>G118</f>
        <v>12</v>
      </c>
      <c r="H117" s="82">
        <f>H118</f>
        <v>12</v>
      </c>
    </row>
    <row r="118" spans="1:8" s="30" customFormat="1" ht="38.25" x14ac:dyDescent="0.2">
      <c r="A118" s="19" t="s">
        <v>58</v>
      </c>
      <c r="B118" s="19" t="s">
        <v>75</v>
      </c>
      <c r="C118" s="58">
        <v>950123300</v>
      </c>
      <c r="D118" s="65" t="s">
        <v>119</v>
      </c>
      <c r="E118" s="75" t="s">
        <v>120</v>
      </c>
      <c r="F118" s="82">
        <v>12</v>
      </c>
      <c r="G118" s="82">
        <v>12</v>
      </c>
      <c r="H118" s="82">
        <v>12</v>
      </c>
    </row>
    <row r="119" spans="1:8" s="30" customFormat="1" ht="38.25" x14ac:dyDescent="0.2">
      <c r="A119" s="19" t="s">
        <v>58</v>
      </c>
      <c r="B119" s="19" t="s">
        <v>75</v>
      </c>
      <c r="C119" s="58">
        <v>950123440</v>
      </c>
      <c r="D119" s="16"/>
      <c r="E119" s="75" t="s">
        <v>371</v>
      </c>
      <c r="F119" s="82">
        <f>F120</f>
        <v>3</v>
      </c>
      <c r="G119" s="82">
        <f>G120</f>
        <v>3</v>
      </c>
      <c r="H119" s="82">
        <f>H120</f>
        <v>3</v>
      </c>
    </row>
    <row r="120" spans="1:8" s="30" customFormat="1" ht="38.25" x14ac:dyDescent="0.2">
      <c r="A120" s="19" t="s">
        <v>58</v>
      </c>
      <c r="B120" s="19" t="s">
        <v>75</v>
      </c>
      <c r="C120" s="58">
        <v>950123440</v>
      </c>
      <c r="D120" s="65" t="s">
        <v>119</v>
      </c>
      <c r="E120" s="75" t="s">
        <v>120</v>
      </c>
      <c r="F120" s="82">
        <v>3</v>
      </c>
      <c r="G120" s="82">
        <v>3</v>
      </c>
      <c r="H120" s="82">
        <v>3</v>
      </c>
    </row>
    <row r="121" spans="1:8" s="30" customFormat="1" ht="25.5" x14ac:dyDescent="0.25">
      <c r="A121" s="57" t="s">
        <v>58</v>
      </c>
      <c r="B121" s="57" t="s">
        <v>75</v>
      </c>
      <c r="C121" s="66">
        <v>9900000000</v>
      </c>
      <c r="D121" s="143"/>
      <c r="E121" s="67" t="s">
        <v>104</v>
      </c>
      <c r="F121" s="86">
        <f>F122+F125</f>
        <v>12641.500000000002</v>
      </c>
      <c r="G121" s="86">
        <f>G122+G125</f>
        <v>9826.9</v>
      </c>
      <c r="H121" s="86">
        <f>H122+H125</f>
        <v>9826.9</v>
      </c>
    </row>
    <row r="122" spans="1:8" s="30" customFormat="1" ht="14.25" x14ac:dyDescent="0.2">
      <c r="A122" s="19" t="s">
        <v>58</v>
      </c>
      <c r="B122" s="19" t="s">
        <v>75</v>
      </c>
      <c r="C122" s="62">
        <v>9920000000</v>
      </c>
      <c r="D122" s="33"/>
      <c r="E122" s="93" t="s">
        <v>3</v>
      </c>
      <c r="F122" s="162">
        <f t="shared" ref="F122:H123" si="29">F123</f>
        <v>814.6</v>
      </c>
      <c r="G122" s="162">
        <f t="shared" si="29"/>
        <v>0</v>
      </c>
      <c r="H122" s="162">
        <f t="shared" si="29"/>
        <v>0</v>
      </c>
    </row>
    <row r="123" spans="1:8" s="30" customFormat="1" ht="25.5" x14ac:dyDescent="0.2">
      <c r="A123" s="19" t="s">
        <v>58</v>
      </c>
      <c r="B123" s="19" t="s">
        <v>75</v>
      </c>
      <c r="C123" s="62">
        <v>9920026100</v>
      </c>
      <c r="D123" s="19"/>
      <c r="E123" s="76" t="s">
        <v>9</v>
      </c>
      <c r="F123" s="113">
        <f t="shared" si="29"/>
        <v>814.6</v>
      </c>
      <c r="G123" s="113">
        <f t="shared" si="29"/>
        <v>0</v>
      </c>
      <c r="H123" s="113">
        <f t="shared" si="29"/>
        <v>0</v>
      </c>
    </row>
    <row r="124" spans="1:8" s="30" customFormat="1" ht="38.25" x14ac:dyDescent="0.2">
      <c r="A124" s="19" t="s">
        <v>58</v>
      </c>
      <c r="B124" s="19" t="s">
        <v>75</v>
      </c>
      <c r="C124" s="62">
        <v>9920026100</v>
      </c>
      <c r="D124" s="65" t="s">
        <v>119</v>
      </c>
      <c r="E124" s="75" t="s">
        <v>120</v>
      </c>
      <c r="F124" s="113">
        <f>709.6+65+40</f>
        <v>814.6</v>
      </c>
      <c r="G124" s="113">
        <v>0</v>
      </c>
      <c r="H124" s="113">
        <v>0</v>
      </c>
    </row>
    <row r="125" spans="1:8" s="30" customFormat="1" ht="55.5" customHeight="1" x14ac:dyDescent="0.2">
      <c r="A125" s="19" t="s">
        <v>58</v>
      </c>
      <c r="B125" s="19" t="s">
        <v>75</v>
      </c>
      <c r="C125" s="19" t="s">
        <v>373</v>
      </c>
      <c r="D125" s="41"/>
      <c r="E125" s="47" t="s">
        <v>372</v>
      </c>
      <c r="F125" s="82">
        <f>SUM(F126:F128)</f>
        <v>11826.900000000001</v>
      </c>
      <c r="G125" s="82">
        <f t="shared" ref="G125:H125" si="30">SUM(G126:G128)</f>
        <v>9826.9</v>
      </c>
      <c r="H125" s="82">
        <f t="shared" si="30"/>
        <v>9826.9</v>
      </c>
    </row>
    <row r="126" spans="1:8" s="30" customFormat="1" ht="25.5" x14ac:dyDescent="0.2">
      <c r="A126" s="19" t="s">
        <v>58</v>
      </c>
      <c r="B126" s="19" t="s">
        <v>75</v>
      </c>
      <c r="C126" s="19" t="s">
        <v>373</v>
      </c>
      <c r="D126" s="16" t="s">
        <v>42</v>
      </c>
      <c r="E126" s="77" t="s">
        <v>95</v>
      </c>
      <c r="F126" s="82">
        <f>7907.4+1207-10+10</f>
        <v>9114.4</v>
      </c>
      <c r="G126" s="82">
        <f t="shared" ref="G126:H126" si="31">7907.4+1207</f>
        <v>9114.4</v>
      </c>
      <c r="H126" s="82">
        <f t="shared" si="31"/>
        <v>9114.4</v>
      </c>
    </row>
    <row r="127" spans="1:8" s="30" customFormat="1" ht="38.25" x14ac:dyDescent="0.2">
      <c r="A127" s="19" t="s">
        <v>58</v>
      </c>
      <c r="B127" s="19" t="s">
        <v>75</v>
      </c>
      <c r="C127" s="19" t="s">
        <v>373</v>
      </c>
      <c r="D127" s="65" t="s">
        <v>119</v>
      </c>
      <c r="E127" s="75" t="s">
        <v>120</v>
      </c>
      <c r="F127" s="82">
        <f>712.5+2000-72.7-10</f>
        <v>2629.8</v>
      </c>
      <c r="G127" s="82">
        <v>712.5</v>
      </c>
      <c r="H127" s="82">
        <v>712.5</v>
      </c>
    </row>
    <row r="128" spans="1:8" s="30" customFormat="1" ht="25.5" x14ac:dyDescent="0.2">
      <c r="A128" s="19" t="s">
        <v>58</v>
      </c>
      <c r="B128" s="19" t="s">
        <v>75</v>
      </c>
      <c r="C128" s="19" t="s">
        <v>373</v>
      </c>
      <c r="D128" s="65" t="s">
        <v>96</v>
      </c>
      <c r="E128" s="75" t="s">
        <v>97</v>
      </c>
      <c r="F128" s="82">
        <f>10+72.7</f>
        <v>82.7</v>
      </c>
      <c r="G128" s="82">
        <v>0</v>
      </c>
      <c r="H128" s="82">
        <v>0</v>
      </c>
    </row>
    <row r="129" spans="1:8" s="30" customFormat="1" ht="39" x14ac:dyDescent="0.25">
      <c r="A129" s="26" t="s">
        <v>58</v>
      </c>
      <c r="B129" s="26" t="s">
        <v>86</v>
      </c>
      <c r="C129" s="26"/>
      <c r="D129" s="32"/>
      <c r="E129" s="40" t="s">
        <v>20</v>
      </c>
      <c r="F129" s="160">
        <f>F130+F133</f>
        <v>150</v>
      </c>
      <c r="G129" s="160">
        <f t="shared" ref="G129:H129" si="32">G130+G133</f>
        <v>150</v>
      </c>
      <c r="H129" s="160">
        <f t="shared" si="32"/>
        <v>150</v>
      </c>
    </row>
    <row r="130" spans="1:8" s="30" customFormat="1" ht="102" customHeight="1" x14ac:dyDescent="0.2">
      <c r="A130" s="57" t="s">
        <v>58</v>
      </c>
      <c r="B130" s="57" t="s">
        <v>86</v>
      </c>
      <c r="C130" s="57" t="s">
        <v>106</v>
      </c>
      <c r="D130" s="16"/>
      <c r="E130" s="126" t="s">
        <v>211</v>
      </c>
      <c r="F130" s="86">
        <f t="shared" ref="F130:H131" si="33">F131</f>
        <v>80</v>
      </c>
      <c r="G130" s="86">
        <f t="shared" si="33"/>
        <v>80</v>
      </c>
      <c r="H130" s="86">
        <f t="shared" si="33"/>
        <v>80</v>
      </c>
    </row>
    <row r="131" spans="1:8" s="30" customFormat="1" ht="63.75" x14ac:dyDescent="0.2">
      <c r="A131" s="19" t="s">
        <v>58</v>
      </c>
      <c r="B131" s="19" t="s">
        <v>86</v>
      </c>
      <c r="C131" s="19" t="s">
        <v>305</v>
      </c>
      <c r="D131" s="16"/>
      <c r="E131" s="75" t="s">
        <v>377</v>
      </c>
      <c r="F131" s="82">
        <f t="shared" si="33"/>
        <v>80</v>
      </c>
      <c r="G131" s="82">
        <f t="shared" si="33"/>
        <v>80</v>
      </c>
      <c r="H131" s="82">
        <f t="shared" si="33"/>
        <v>80</v>
      </c>
    </row>
    <row r="132" spans="1:8" s="30" customFormat="1" ht="25.5" x14ac:dyDescent="0.2">
      <c r="A132" s="19" t="s">
        <v>58</v>
      </c>
      <c r="B132" s="19" t="s">
        <v>86</v>
      </c>
      <c r="C132" s="19" t="s">
        <v>305</v>
      </c>
      <c r="D132" s="65" t="s">
        <v>42</v>
      </c>
      <c r="E132" s="48" t="s">
        <v>95</v>
      </c>
      <c r="F132" s="82">
        <v>80</v>
      </c>
      <c r="G132" s="82">
        <v>80</v>
      </c>
      <c r="H132" s="82">
        <v>80</v>
      </c>
    </row>
    <row r="133" spans="1:8" s="30" customFormat="1" ht="127.5" x14ac:dyDescent="0.2">
      <c r="A133" s="57" t="s">
        <v>58</v>
      </c>
      <c r="B133" s="57" t="s">
        <v>86</v>
      </c>
      <c r="C133" s="57" t="s">
        <v>217</v>
      </c>
      <c r="D133" s="16"/>
      <c r="E133" s="126" t="s">
        <v>218</v>
      </c>
      <c r="F133" s="86">
        <f>F134+F136</f>
        <v>70</v>
      </c>
      <c r="G133" s="86">
        <f t="shared" ref="G133:H133" si="34">G134+G136</f>
        <v>70</v>
      </c>
      <c r="H133" s="86">
        <f t="shared" si="34"/>
        <v>70</v>
      </c>
    </row>
    <row r="134" spans="1:8" s="30" customFormat="1" ht="38.25" x14ac:dyDescent="0.2">
      <c r="A134" s="19" t="s">
        <v>58</v>
      </c>
      <c r="B134" s="19" t="s">
        <v>86</v>
      </c>
      <c r="C134" s="19" t="s">
        <v>300</v>
      </c>
      <c r="D134" s="16"/>
      <c r="E134" s="127" t="s">
        <v>299</v>
      </c>
      <c r="F134" s="82">
        <f t="shared" ref="F134:H134" si="35">F135</f>
        <v>35</v>
      </c>
      <c r="G134" s="82">
        <f t="shared" si="35"/>
        <v>35</v>
      </c>
      <c r="H134" s="82">
        <f t="shared" si="35"/>
        <v>35</v>
      </c>
    </row>
    <row r="135" spans="1:8" s="30" customFormat="1" ht="38.25" x14ac:dyDescent="0.2">
      <c r="A135" s="19" t="s">
        <v>58</v>
      </c>
      <c r="B135" s="19" t="s">
        <v>86</v>
      </c>
      <c r="C135" s="19" t="s">
        <v>300</v>
      </c>
      <c r="D135" s="65" t="s">
        <v>119</v>
      </c>
      <c r="E135" s="75" t="s">
        <v>120</v>
      </c>
      <c r="F135" s="82">
        <v>35</v>
      </c>
      <c r="G135" s="82">
        <v>35</v>
      </c>
      <c r="H135" s="82">
        <v>35</v>
      </c>
    </row>
    <row r="136" spans="1:8" s="30" customFormat="1" ht="25.5" customHeight="1" x14ac:dyDescent="0.2">
      <c r="A136" s="19" t="s">
        <v>58</v>
      </c>
      <c r="B136" s="19" t="s">
        <v>86</v>
      </c>
      <c r="C136" s="19" t="s">
        <v>301</v>
      </c>
      <c r="D136" s="65"/>
      <c r="E136" s="106" t="s">
        <v>302</v>
      </c>
      <c r="F136" s="82">
        <f>F137</f>
        <v>35</v>
      </c>
      <c r="G136" s="82">
        <f t="shared" ref="G136:H136" si="36">G137</f>
        <v>35</v>
      </c>
      <c r="H136" s="82">
        <f t="shared" si="36"/>
        <v>35</v>
      </c>
    </row>
    <row r="137" spans="1:8" s="30" customFormat="1" ht="38.25" x14ac:dyDescent="0.2">
      <c r="A137" s="19" t="s">
        <v>58</v>
      </c>
      <c r="B137" s="19" t="s">
        <v>86</v>
      </c>
      <c r="C137" s="19" t="s">
        <v>301</v>
      </c>
      <c r="D137" s="65" t="s">
        <v>119</v>
      </c>
      <c r="E137" s="75" t="s">
        <v>120</v>
      </c>
      <c r="F137" s="82">
        <v>35</v>
      </c>
      <c r="G137" s="82">
        <v>35</v>
      </c>
      <c r="H137" s="82">
        <v>35</v>
      </c>
    </row>
    <row r="138" spans="1:8" ht="15.75" x14ac:dyDescent="0.25">
      <c r="A138" s="4" t="s">
        <v>59</v>
      </c>
      <c r="B138" s="3"/>
      <c r="C138" s="3"/>
      <c r="D138" s="3"/>
      <c r="E138" s="43" t="s">
        <v>65</v>
      </c>
      <c r="F138" s="156">
        <f>F139+F149+F157+F187</f>
        <v>309167.59999999998</v>
      </c>
      <c r="G138" s="156">
        <f>G139+G149+G157+G187</f>
        <v>224401</v>
      </c>
      <c r="H138" s="156">
        <f>H139+H149+H157+H187</f>
        <v>224036.59999999998</v>
      </c>
    </row>
    <row r="139" spans="1:8" ht="14.25" x14ac:dyDescent="0.2">
      <c r="A139" s="28" t="s">
        <v>59</v>
      </c>
      <c r="B139" s="28" t="s">
        <v>60</v>
      </c>
      <c r="C139" s="28"/>
      <c r="D139" s="28"/>
      <c r="E139" s="39" t="s">
        <v>68</v>
      </c>
      <c r="F139" s="160">
        <f>F140</f>
        <v>5009.6000000000004</v>
      </c>
      <c r="G139" s="160">
        <f t="shared" ref="G139:H139" si="37">G140</f>
        <v>42.2</v>
      </c>
      <c r="H139" s="160">
        <f t="shared" si="37"/>
        <v>59</v>
      </c>
    </row>
    <row r="140" spans="1:8" ht="107.25" customHeight="1" x14ac:dyDescent="0.2">
      <c r="A140" s="65" t="s">
        <v>59</v>
      </c>
      <c r="B140" s="65" t="s">
        <v>60</v>
      </c>
      <c r="C140" s="57" t="s">
        <v>45</v>
      </c>
      <c r="D140" s="16"/>
      <c r="E140" s="126" t="s">
        <v>206</v>
      </c>
      <c r="F140" s="86">
        <f>F141+F143+F145+F147</f>
        <v>5009.6000000000004</v>
      </c>
      <c r="G140" s="86">
        <f t="shared" ref="G140:H140" si="38">G141+G143+G145+G147</f>
        <v>42.2</v>
      </c>
      <c r="H140" s="86">
        <f t="shared" si="38"/>
        <v>59</v>
      </c>
    </row>
    <row r="141" spans="1:8" ht="38.25" x14ac:dyDescent="0.2">
      <c r="A141" s="65" t="s">
        <v>59</v>
      </c>
      <c r="B141" s="65" t="s">
        <v>60</v>
      </c>
      <c r="C141" s="19" t="s">
        <v>318</v>
      </c>
      <c r="D141" s="16"/>
      <c r="E141" s="76" t="s">
        <v>187</v>
      </c>
      <c r="F141" s="113">
        <f>F142</f>
        <v>0</v>
      </c>
      <c r="G141" s="113">
        <f t="shared" ref="G141:H141" si="39">G142</f>
        <v>42.2</v>
      </c>
      <c r="H141" s="113">
        <f t="shared" si="39"/>
        <v>59</v>
      </c>
    </row>
    <row r="142" spans="1:8" ht="38.25" x14ac:dyDescent="0.2">
      <c r="A142" s="65" t="s">
        <v>59</v>
      </c>
      <c r="B142" s="65" t="s">
        <v>60</v>
      </c>
      <c r="C142" s="19" t="s">
        <v>318</v>
      </c>
      <c r="D142" s="65" t="s">
        <v>119</v>
      </c>
      <c r="E142" s="75" t="s">
        <v>120</v>
      </c>
      <c r="F142" s="82">
        <f>84.3-84.3</f>
        <v>0</v>
      </c>
      <c r="G142" s="82">
        <v>42.2</v>
      </c>
      <c r="H142" s="82">
        <v>59</v>
      </c>
    </row>
    <row r="143" spans="1:8" ht="51" x14ac:dyDescent="0.2">
      <c r="A143" s="65" t="s">
        <v>59</v>
      </c>
      <c r="B143" s="65" t="s">
        <v>60</v>
      </c>
      <c r="C143" s="19" t="s">
        <v>583</v>
      </c>
      <c r="D143" s="65"/>
      <c r="E143" s="75" t="s">
        <v>585</v>
      </c>
      <c r="F143" s="82">
        <f>F144</f>
        <v>1770</v>
      </c>
      <c r="G143" s="82">
        <f t="shared" ref="G143:H143" si="40">G144</f>
        <v>0</v>
      </c>
      <c r="H143" s="82">
        <f t="shared" si="40"/>
        <v>0</v>
      </c>
    </row>
    <row r="144" spans="1:8" ht="38.25" x14ac:dyDescent="0.2">
      <c r="A144" s="65" t="s">
        <v>59</v>
      </c>
      <c r="B144" s="65" t="s">
        <v>60</v>
      </c>
      <c r="C144" s="19" t="s">
        <v>583</v>
      </c>
      <c r="D144" s="65" t="s">
        <v>119</v>
      </c>
      <c r="E144" s="75" t="s">
        <v>120</v>
      </c>
      <c r="F144" s="82">
        <f>1750.5+19.5</f>
        <v>1770</v>
      </c>
      <c r="G144" s="82">
        <v>0</v>
      </c>
      <c r="H144" s="82">
        <v>0</v>
      </c>
    </row>
    <row r="145" spans="1:10" ht="51" x14ac:dyDescent="0.2">
      <c r="A145" s="65" t="s">
        <v>59</v>
      </c>
      <c r="B145" s="65" t="s">
        <v>60</v>
      </c>
      <c r="C145" s="19" t="s">
        <v>584</v>
      </c>
      <c r="D145" s="65"/>
      <c r="E145" s="75" t="s">
        <v>586</v>
      </c>
      <c r="F145" s="82">
        <f>F146</f>
        <v>2950</v>
      </c>
      <c r="G145" s="82">
        <f t="shared" ref="G145:H145" si="41">G146</f>
        <v>0</v>
      </c>
      <c r="H145" s="82">
        <f t="shared" si="41"/>
        <v>0</v>
      </c>
    </row>
    <row r="146" spans="1:10" ht="38.25" x14ac:dyDescent="0.2">
      <c r="A146" s="65" t="s">
        <v>59</v>
      </c>
      <c r="B146" s="65" t="s">
        <v>60</v>
      </c>
      <c r="C146" s="19" t="s">
        <v>584</v>
      </c>
      <c r="D146" s="65" t="s">
        <v>119</v>
      </c>
      <c r="E146" s="75" t="s">
        <v>120</v>
      </c>
      <c r="F146" s="82">
        <f>2917.6+32.4</f>
        <v>2950</v>
      </c>
      <c r="G146" s="82">
        <v>0</v>
      </c>
      <c r="H146" s="82">
        <v>0</v>
      </c>
    </row>
    <row r="147" spans="1:10" ht="89.25" x14ac:dyDescent="0.2">
      <c r="A147" s="65" t="s">
        <v>59</v>
      </c>
      <c r="B147" s="65" t="s">
        <v>60</v>
      </c>
      <c r="C147" s="19" t="s">
        <v>592</v>
      </c>
      <c r="D147" s="65"/>
      <c r="E147" s="75" t="s">
        <v>593</v>
      </c>
      <c r="F147" s="82">
        <f>F148</f>
        <v>289.60000000000002</v>
      </c>
      <c r="G147" s="82">
        <f t="shared" ref="G147:H147" si="42">G148</f>
        <v>0</v>
      </c>
      <c r="H147" s="82">
        <f t="shared" si="42"/>
        <v>0</v>
      </c>
    </row>
    <row r="148" spans="1:10" ht="38.25" x14ac:dyDescent="0.2">
      <c r="A148" s="65" t="s">
        <v>59</v>
      </c>
      <c r="B148" s="65" t="s">
        <v>60</v>
      </c>
      <c r="C148" s="19" t="s">
        <v>592</v>
      </c>
      <c r="D148" s="65" t="s">
        <v>119</v>
      </c>
      <c r="E148" s="75" t="s">
        <v>120</v>
      </c>
      <c r="F148" s="82">
        <v>289.60000000000002</v>
      </c>
      <c r="G148" s="82">
        <v>0</v>
      </c>
      <c r="H148" s="82">
        <v>0</v>
      </c>
    </row>
    <row r="149" spans="1:10" ht="14.25" x14ac:dyDescent="0.2">
      <c r="A149" s="28" t="s">
        <v>59</v>
      </c>
      <c r="B149" s="28" t="s">
        <v>66</v>
      </c>
      <c r="C149" s="28"/>
      <c r="D149" s="28"/>
      <c r="E149" s="25" t="s">
        <v>0</v>
      </c>
      <c r="F149" s="160">
        <f>F150</f>
        <v>41713.9</v>
      </c>
      <c r="G149" s="160">
        <f>G150</f>
        <v>34681.4</v>
      </c>
      <c r="H149" s="160">
        <f>H150</f>
        <v>34681.4</v>
      </c>
      <c r="J149" s="181"/>
    </row>
    <row r="150" spans="1:10" ht="133.5" customHeight="1" x14ac:dyDescent="0.2">
      <c r="A150" s="5" t="s">
        <v>59</v>
      </c>
      <c r="B150" s="5" t="s">
        <v>66</v>
      </c>
      <c r="C150" s="57" t="s">
        <v>479</v>
      </c>
      <c r="D150" s="28"/>
      <c r="E150" s="126" t="s">
        <v>210</v>
      </c>
      <c r="F150" s="86">
        <f>F151+F153+F155</f>
        <v>41713.9</v>
      </c>
      <c r="G150" s="86">
        <f t="shared" ref="G150:H150" si="43">G151+G153+G155</f>
        <v>34681.4</v>
      </c>
      <c r="H150" s="86">
        <f t="shared" si="43"/>
        <v>34681.4</v>
      </c>
    </row>
    <row r="151" spans="1:10" ht="76.5" x14ac:dyDescent="0.2">
      <c r="A151" s="16" t="s">
        <v>59</v>
      </c>
      <c r="B151" s="16" t="s">
        <v>66</v>
      </c>
      <c r="C151" s="58" t="s">
        <v>498</v>
      </c>
      <c r="D151" s="28"/>
      <c r="E151" s="74" t="s">
        <v>497</v>
      </c>
      <c r="F151" s="113">
        <f>F152</f>
        <v>25274.400000000001</v>
      </c>
      <c r="G151" s="113">
        <f>G152</f>
        <v>25274.400000000001</v>
      </c>
      <c r="H151" s="113">
        <f>H152</f>
        <v>25274.400000000001</v>
      </c>
    </row>
    <row r="152" spans="1:10" ht="38.25" x14ac:dyDescent="0.2">
      <c r="A152" s="16" t="s">
        <v>59</v>
      </c>
      <c r="B152" s="16" t="s">
        <v>66</v>
      </c>
      <c r="C152" s="58" t="s">
        <v>498</v>
      </c>
      <c r="D152" s="65" t="s">
        <v>119</v>
      </c>
      <c r="E152" s="75" t="s">
        <v>120</v>
      </c>
      <c r="F152" s="113">
        <v>25274.400000000001</v>
      </c>
      <c r="G152" s="113">
        <v>25274.400000000001</v>
      </c>
      <c r="H152" s="113">
        <v>25274.400000000001</v>
      </c>
    </row>
    <row r="153" spans="1:10" ht="90.75" customHeight="1" x14ac:dyDescent="0.2">
      <c r="A153" s="16" t="s">
        <v>59</v>
      </c>
      <c r="B153" s="16" t="s">
        <v>66</v>
      </c>
      <c r="C153" s="58">
        <v>750223710</v>
      </c>
      <c r="D153" s="65"/>
      <c r="E153" s="47" t="s">
        <v>180</v>
      </c>
      <c r="F153" s="113">
        <f>F154</f>
        <v>16329.5</v>
      </c>
      <c r="G153" s="113">
        <f>G154</f>
        <v>9297</v>
      </c>
      <c r="H153" s="113">
        <f>H154</f>
        <v>9297</v>
      </c>
    </row>
    <row r="154" spans="1:10" ht="38.25" x14ac:dyDescent="0.2">
      <c r="A154" s="16" t="s">
        <v>59</v>
      </c>
      <c r="B154" s="16" t="s">
        <v>66</v>
      </c>
      <c r="C154" s="58">
        <v>750223710</v>
      </c>
      <c r="D154" s="65" t="s">
        <v>119</v>
      </c>
      <c r="E154" s="75" t="s">
        <v>120</v>
      </c>
      <c r="F154" s="113">
        <f>9297+7032.4+0.1</f>
        <v>16329.5</v>
      </c>
      <c r="G154" s="113">
        <v>9297</v>
      </c>
      <c r="H154" s="113">
        <v>9297</v>
      </c>
    </row>
    <row r="155" spans="1:10" ht="76.5" x14ac:dyDescent="0.2">
      <c r="A155" s="16" t="s">
        <v>59</v>
      </c>
      <c r="B155" s="16" t="s">
        <v>66</v>
      </c>
      <c r="C155" s="58">
        <v>750223720</v>
      </c>
      <c r="D155" s="65"/>
      <c r="E155" s="47" t="s">
        <v>500</v>
      </c>
      <c r="F155" s="113">
        <f>F156</f>
        <v>110</v>
      </c>
      <c r="G155" s="113">
        <f>G156</f>
        <v>110</v>
      </c>
      <c r="H155" s="113">
        <f>H156</f>
        <v>110</v>
      </c>
    </row>
    <row r="156" spans="1:10" ht="38.25" x14ac:dyDescent="0.2">
      <c r="A156" s="16" t="s">
        <v>59</v>
      </c>
      <c r="B156" s="16" t="s">
        <v>66</v>
      </c>
      <c r="C156" s="58">
        <v>750223720</v>
      </c>
      <c r="D156" s="65" t="s">
        <v>119</v>
      </c>
      <c r="E156" s="75" t="s">
        <v>120</v>
      </c>
      <c r="F156" s="113">
        <v>110</v>
      </c>
      <c r="G156" s="113">
        <v>110</v>
      </c>
      <c r="H156" s="113">
        <v>110</v>
      </c>
    </row>
    <row r="157" spans="1:10" ht="28.5" x14ac:dyDescent="0.2">
      <c r="A157" s="28" t="s">
        <v>59</v>
      </c>
      <c r="B157" s="28" t="s">
        <v>64</v>
      </c>
      <c r="C157" s="28"/>
      <c r="D157" s="28"/>
      <c r="E157" s="44" t="s">
        <v>118</v>
      </c>
      <c r="F157" s="160">
        <f>F158</f>
        <v>260898.8</v>
      </c>
      <c r="G157" s="160">
        <f t="shared" ref="G157:H157" si="44">G158</f>
        <v>187808.4</v>
      </c>
      <c r="H157" s="160">
        <f t="shared" si="44"/>
        <v>187425.19999999998</v>
      </c>
    </row>
    <row r="158" spans="1:10" ht="129.75" customHeight="1" x14ac:dyDescent="0.2">
      <c r="A158" s="5" t="s">
        <v>59</v>
      </c>
      <c r="B158" s="5" t="s">
        <v>64</v>
      </c>
      <c r="C158" s="57" t="s">
        <v>479</v>
      </c>
      <c r="D158" s="28"/>
      <c r="E158" s="126" t="s">
        <v>210</v>
      </c>
      <c r="F158" s="86">
        <f>F159+F161+F163+F165+F167+F169+F171+F173+F175+F177+F179+F181+F183+F185</f>
        <v>260898.8</v>
      </c>
      <c r="G158" s="86">
        <f t="shared" ref="G158:H158" si="45">G159+G161+G163+G165+G167+G169+G171+G173+G175+G177+G179+G181+G183</f>
        <v>187808.4</v>
      </c>
      <c r="H158" s="86">
        <f t="shared" si="45"/>
        <v>187425.19999999998</v>
      </c>
    </row>
    <row r="159" spans="1:10" ht="51" x14ac:dyDescent="0.2">
      <c r="A159" s="16" t="s">
        <v>59</v>
      </c>
      <c r="B159" s="16" t="s">
        <v>64</v>
      </c>
      <c r="C159" s="100" t="s">
        <v>483</v>
      </c>
      <c r="D159" s="28"/>
      <c r="E159" s="74" t="s">
        <v>482</v>
      </c>
      <c r="F159" s="113">
        <f>F160</f>
        <v>108673.7</v>
      </c>
      <c r="G159" s="113">
        <f>G160</f>
        <v>66572.2</v>
      </c>
      <c r="H159" s="113">
        <f>H160</f>
        <v>69235.100000000006</v>
      </c>
    </row>
    <row r="160" spans="1:10" ht="38.25" x14ac:dyDescent="0.2">
      <c r="A160" s="16" t="s">
        <v>59</v>
      </c>
      <c r="B160" s="16" t="s">
        <v>64</v>
      </c>
      <c r="C160" s="100" t="s">
        <v>483</v>
      </c>
      <c r="D160" s="65" t="s">
        <v>119</v>
      </c>
      <c r="E160" s="75" t="s">
        <v>120</v>
      </c>
      <c r="F160" s="113">
        <f>67407.6+19.1-3414.9+4024.6+447.2+4052.7+36171.1-4052.7+4019</f>
        <v>108673.7</v>
      </c>
      <c r="G160" s="113">
        <f>66550.2+19.8+2.2</f>
        <v>66572.2</v>
      </c>
      <c r="H160" s="113">
        <f>69212.2+20.6+2.3</f>
        <v>69235.100000000006</v>
      </c>
    </row>
    <row r="161" spans="1:8" ht="53.25" customHeight="1" x14ac:dyDescent="0.2">
      <c r="A161" s="16" t="s">
        <v>59</v>
      </c>
      <c r="B161" s="16" t="s">
        <v>64</v>
      </c>
      <c r="C161" s="100" t="s">
        <v>485</v>
      </c>
      <c r="D161" s="65"/>
      <c r="E161" s="75" t="s">
        <v>484</v>
      </c>
      <c r="F161" s="113">
        <f>F162</f>
        <v>0</v>
      </c>
      <c r="G161" s="113">
        <f t="shared" ref="G161:H161" si="46">G162</f>
        <v>15237.5</v>
      </c>
      <c r="H161" s="113">
        <f t="shared" si="46"/>
        <v>15846.9</v>
      </c>
    </row>
    <row r="162" spans="1:8" ht="38.25" x14ac:dyDescent="0.2">
      <c r="A162" s="16" t="s">
        <v>59</v>
      </c>
      <c r="B162" s="16" t="s">
        <v>64</v>
      </c>
      <c r="C162" s="100" t="s">
        <v>485</v>
      </c>
      <c r="D162" s="65" t="s">
        <v>119</v>
      </c>
      <c r="E162" s="75" t="s">
        <v>120</v>
      </c>
      <c r="F162" s="113">
        <f>14659.3-8-13186.2-1465.1</f>
        <v>0</v>
      </c>
      <c r="G162" s="113">
        <v>15237.5</v>
      </c>
      <c r="H162" s="113">
        <v>15846.9</v>
      </c>
    </row>
    <row r="163" spans="1:8" ht="89.25" x14ac:dyDescent="0.2">
      <c r="A163" s="16" t="s">
        <v>59</v>
      </c>
      <c r="B163" s="16" t="s">
        <v>64</v>
      </c>
      <c r="C163" s="100" t="s">
        <v>489</v>
      </c>
      <c r="D163" s="16"/>
      <c r="E163" s="75" t="s">
        <v>488</v>
      </c>
      <c r="F163" s="113">
        <f>F164</f>
        <v>23591.3</v>
      </c>
      <c r="G163" s="113">
        <f>G164</f>
        <v>22865.4</v>
      </c>
      <c r="H163" s="113">
        <f>H164</f>
        <v>22865.4</v>
      </c>
    </row>
    <row r="164" spans="1:8" ht="38.25" x14ac:dyDescent="0.2">
      <c r="A164" s="16" t="s">
        <v>59</v>
      </c>
      <c r="B164" s="16" t="s">
        <v>64</v>
      </c>
      <c r="C164" s="100" t="s">
        <v>489</v>
      </c>
      <c r="D164" s="65" t="s">
        <v>119</v>
      </c>
      <c r="E164" s="75" t="s">
        <v>120</v>
      </c>
      <c r="F164" s="113">
        <f>22459-167.7+1300</f>
        <v>23591.3</v>
      </c>
      <c r="G164" s="113">
        <v>22865.4</v>
      </c>
      <c r="H164" s="113">
        <v>22865.4</v>
      </c>
    </row>
    <row r="165" spans="1:8" ht="76.5" x14ac:dyDescent="0.2">
      <c r="A165" s="16" t="s">
        <v>59</v>
      </c>
      <c r="B165" s="16" t="s">
        <v>64</v>
      </c>
      <c r="C165" s="100" t="s">
        <v>491</v>
      </c>
      <c r="D165" s="65"/>
      <c r="E165" s="94" t="s">
        <v>490</v>
      </c>
      <c r="F165" s="113">
        <f>F166</f>
        <v>32440.3</v>
      </c>
      <c r="G165" s="113">
        <f t="shared" ref="G165:H165" si="47">G166</f>
        <v>33737.9</v>
      </c>
      <c r="H165" s="113">
        <f t="shared" si="47"/>
        <v>35087.4</v>
      </c>
    </row>
    <row r="166" spans="1:8" ht="38.25" x14ac:dyDescent="0.2">
      <c r="A166" s="16" t="s">
        <v>59</v>
      </c>
      <c r="B166" s="16" t="s">
        <v>64</v>
      </c>
      <c r="C166" s="100" t="s">
        <v>491</v>
      </c>
      <c r="D166" s="65" t="s">
        <v>119</v>
      </c>
      <c r="E166" s="75" t="s">
        <v>120</v>
      </c>
      <c r="F166" s="113">
        <v>32440.3</v>
      </c>
      <c r="G166" s="113">
        <v>33737.9</v>
      </c>
      <c r="H166" s="113">
        <v>35087.4</v>
      </c>
    </row>
    <row r="167" spans="1:8" ht="25.5" x14ac:dyDescent="0.2">
      <c r="A167" s="16" t="s">
        <v>59</v>
      </c>
      <c r="B167" s="16" t="s">
        <v>64</v>
      </c>
      <c r="C167" s="100" t="s">
        <v>492</v>
      </c>
      <c r="D167" s="65"/>
      <c r="E167" s="75" t="s">
        <v>115</v>
      </c>
      <c r="F167" s="113">
        <f>F168</f>
        <v>31856.400000000001</v>
      </c>
      <c r="G167" s="113">
        <f>G168</f>
        <v>33394</v>
      </c>
      <c r="H167" s="113">
        <f>H168</f>
        <v>33394</v>
      </c>
    </row>
    <row r="168" spans="1:8" ht="38.25" x14ac:dyDescent="0.2">
      <c r="A168" s="16" t="s">
        <v>59</v>
      </c>
      <c r="B168" s="16" t="s">
        <v>64</v>
      </c>
      <c r="C168" s="100" t="s">
        <v>492</v>
      </c>
      <c r="D168" s="65" t="s">
        <v>119</v>
      </c>
      <c r="E168" s="75" t="s">
        <v>120</v>
      </c>
      <c r="F168" s="113">
        <f>30829.9+333.4-5788-50+5684.6-2288.1+3134.6</f>
        <v>31856.400000000001</v>
      </c>
      <c r="G168" s="113">
        <v>33394</v>
      </c>
      <c r="H168" s="113">
        <v>33394</v>
      </c>
    </row>
    <row r="169" spans="1:8" ht="102" x14ac:dyDescent="0.2">
      <c r="A169" s="16" t="s">
        <v>59</v>
      </c>
      <c r="B169" s="16" t="s">
        <v>64</v>
      </c>
      <c r="C169" s="100" t="s">
        <v>494</v>
      </c>
      <c r="D169" s="65"/>
      <c r="E169" s="91" t="s">
        <v>493</v>
      </c>
      <c r="F169" s="113">
        <f>F170</f>
        <v>3552.7</v>
      </c>
      <c r="G169" s="113">
        <f>G170</f>
        <v>1950</v>
      </c>
      <c r="H169" s="113">
        <f>H170</f>
        <v>1950</v>
      </c>
    </row>
    <row r="170" spans="1:8" ht="38.25" x14ac:dyDescent="0.2">
      <c r="A170" s="16" t="s">
        <v>59</v>
      </c>
      <c r="B170" s="16" t="s">
        <v>64</v>
      </c>
      <c r="C170" s="100" t="s">
        <v>494</v>
      </c>
      <c r="D170" s="65" t="s">
        <v>119</v>
      </c>
      <c r="E170" s="75" t="s">
        <v>120</v>
      </c>
      <c r="F170" s="113">
        <f>1700+1452.7+400</f>
        <v>3552.7</v>
      </c>
      <c r="G170" s="113">
        <v>1950</v>
      </c>
      <c r="H170" s="113">
        <v>1950</v>
      </c>
    </row>
    <row r="171" spans="1:8" x14ac:dyDescent="0.2">
      <c r="A171" s="16" t="s">
        <v>59</v>
      </c>
      <c r="B171" s="16" t="s">
        <v>64</v>
      </c>
      <c r="C171" s="100" t="s">
        <v>570</v>
      </c>
      <c r="D171" s="65"/>
      <c r="E171" s="47" t="s">
        <v>591</v>
      </c>
      <c r="F171" s="113">
        <f>F172</f>
        <v>35684.6</v>
      </c>
      <c r="G171" s="113">
        <f t="shared" ref="G171:H171" si="48">G172</f>
        <v>0</v>
      </c>
      <c r="H171" s="113">
        <f t="shared" si="48"/>
        <v>0</v>
      </c>
    </row>
    <row r="172" spans="1:8" ht="38.25" x14ac:dyDescent="0.2">
      <c r="A172" s="16" t="s">
        <v>59</v>
      </c>
      <c r="B172" s="16" t="s">
        <v>64</v>
      </c>
      <c r="C172" s="100" t="s">
        <v>570</v>
      </c>
      <c r="D172" s="65" t="s">
        <v>119</v>
      </c>
      <c r="E172" s="75" t="s">
        <v>120</v>
      </c>
      <c r="F172" s="113">
        <f>30000+5684.6-5684.6+7500-1815.4</f>
        <v>35684.6</v>
      </c>
      <c r="G172" s="113">
        <v>0</v>
      </c>
      <c r="H172" s="113">
        <v>0</v>
      </c>
    </row>
    <row r="173" spans="1:8" ht="30.75" customHeight="1" x14ac:dyDescent="0.2">
      <c r="A173" s="16" t="s">
        <v>59</v>
      </c>
      <c r="B173" s="16" t="s">
        <v>64</v>
      </c>
      <c r="C173" s="100" t="s">
        <v>571</v>
      </c>
      <c r="D173" s="65"/>
      <c r="E173" s="47" t="s">
        <v>582</v>
      </c>
      <c r="F173" s="113">
        <f>F174</f>
        <v>15929.3</v>
      </c>
      <c r="G173" s="113">
        <f t="shared" ref="G173" si="49">G174</f>
        <v>0</v>
      </c>
      <c r="H173" s="113">
        <f t="shared" ref="H173" si="50">H174</f>
        <v>0</v>
      </c>
    </row>
    <row r="174" spans="1:8" ht="38.25" x14ac:dyDescent="0.2">
      <c r="A174" s="16" t="s">
        <v>59</v>
      </c>
      <c r="B174" s="16" t="s">
        <v>64</v>
      </c>
      <c r="C174" s="100" t="s">
        <v>571</v>
      </c>
      <c r="D174" s="65" t="s">
        <v>119</v>
      </c>
      <c r="E174" s="75" t="s">
        <v>120</v>
      </c>
      <c r="F174" s="113">
        <f>14548.9+1942.5+0.1-1942.5-0.1+1380.4</f>
        <v>15929.3</v>
      </c>
      <c r="G174" s="113">
        <v>0</v>
      </c>
      <c r="H174" s="113">
        <v>0</v>
      </c>
    </row>
    <row r="175" spans="1:8" ht="41.45" customHeight="1" x14ac:dyDescent="0.2">
      <c r="A175" s="16" t="s">
        <v>59</v>
      </c>
      <c r="B175" s="16" t="s">
        <v>64</v>
      </c>
      <c r="C175" s="100" t="s">
        <v>502</v>
      </c>
      <c r="D175" s="65"/>
      <c r="E175" s="47" t="s">
        <v>504</v>
      </c>
      <c r="F175" s="113">
        <f>F176</f>
        <v>0</v>
      </c>
      <c r="G175" s="113">
        <f>G176</f>
        <v>4360.6000000000004</v>
      </c>
      <c r="H175" s="113">
        <f t="shared" ref="H175" si="51">H176</f>
        <v>4535.0000000000009</v>
      </c>
    </row>
    <row r="176" spans="1:8" ht="38.25" x14ac:dyDescent="0.2">
      <c r="A176" s="16" t="s">
        <v>59</v>
      </c>
      <c r="B176" s="16" t="s">
        <v>64</v>
      </c>
      <c r="C176" s="100" t="s">
        <v>502</v>
      </c>
      <c r="D176" s="65" t="s">
        <v>119</v>
      </c>
      <c r="E176" s="75" t="s">
        <v>120</v>
      </c>
      <c r="F176" s="113">
        <f>4191.4+1.3+0.2-3773.6+3773.6-4192.9</f>
        <v>0</v>
      </c>
      <c r="G176" s="113">
        <f>4359.1+1.3+0.2</f>
        <v>4360.6000000000004</v>
      </c>
      <c r="H176" s="113">
        <f>4533.6+1.3+0.1</f>
        <v>4535.0000000000009</v>
      </c>
    </row>
    <row r="177" spans="1:8" ht="38.25" x14ac:dyDescent="0.2">
      <c r="A177" s="19" t="s">
        <v>59</v>
      </c>
      <c r="B177" s="19" t="s">
        <v>64</v>
      </c>
      <c r="C177" s="19" t="s">
        <v>507</v>
      </c>
      <c r="D177" s="65"/>
      <c r="E177" s="75" t="s">
        <v>518</v>
      </c>
      <c r="F177" s="82">
        <f>F178</f>
        <v>3011.4</v>
      </c>
      <c r="G177" s="82">
        <f>G178</f>
        <v>3011.4</v>
      </c>
      <c r="H177" s="82">
        <f>H178</f>
        <v>3011.4</v>
      </c>
    </row>
    <row r="178" spans="1:8" ht="38.25" x14ac:dyDescent="0.2">
      <c r="A178" s="19" t="s">
        <v>59</v>
      </c>
      <c r="B178" s="19" t="s">
        <v>64</v>
      </c>
      <c r="C178" s="19" t="s">
        <v>507</v>
      </c>
      <c r="D178" s="65" t="s">
        <v>119</v>
      </c>
      <c r="E178" s="75" t="s">
        <v>120</v>
      </c>
      <c r="F178" s="82">
        <v>3011.4</v>
      </c>
      <c r="G178" s="82">
        <v>3011.4</v>
      </c>
      <c r="H178" s="82">
        <f>3011.3+0.1</f>
        <v>3011.4</v>
      </c>
    </row>
    <row r="179" spans="1:8" ht="32.450000000000003" customHeight="1" x14ac:dyDescent="0.2">
      <c r="A179" s="19" t="s">
        <v>59</v>
      </c>
      <c r="B179" s="19" t="s">
        <v>64</v>
      </c>
      <c r="C179" s="19" t="s">
        <v>509</v>
      </c>
      <c r="D179" s="65"/>
      <c r="E179" s="75" t="s">
        <v>146</v>
      </c>
      <c r="F179" s="82">
        <f>F180</f>
        <v>1500</v>
      </c>
      <c r="G179" s="82">
        <f t="shared" ref="G179:H179" si="52">G180</f>
        <v>1500</v>
      </c>
      <c r="H179" s="82">
        <f t="shared" si="52"/>
        <v>1500</v>
      </c>
    </row>
    <row r="180" spans="1:8" ht="38.25" x14ac:dyDescent="0.2">
      <c r="A180" s="19" t="s">
        <v>59</v>
      </c>
      <c r="B180" s="19" t="s">
        <v>64</v>
      </c>
      <c r="C180" s="19" t="s">
        <v>509</v>
      </c>
      <c r="D180" s="65" t="s">
        <v>119</v>
      </c>
      <c r="E180" s="75" t="s">
        <v>120</v>
      </c>
      <c r="F180" s="82">
        <v>1500</v>
      </c>
      <c r="G180" s="82">
        <v>1500</v>
      </c>
      <c r="H180" s="82">
        <v>1500</v>
      </c>
    </row>
    <row r="181" spans="1:8" ht="57" customHeight="1" x14ac:dyDescent="0.2">
      <c r="A181" s="19" t="s">
        <v>59</v>
      </c>
      <c r="B181" s="19" t="s">
        <v>64</v>
      </c>
      <c r="C181" s="19" t="s">
        <v>511</v>
      </c>
      <c r="D181" s="16"/>
      <c r="E181" s="75" t="s">
        <v>508</v>
      </c>
      <c r="F181" s="82">
        <f>F182</f>
        <v>599.0999999999998</v>
      </c>
      <c r="G181" s="82">
        <f>G182</f>
        <v>714.5</v>
      </c>
      <c r="H181" s="82">
        <f>H182</f>
        <v>0</v>
      </c>
    </row>
    <row r="182" spans="1:8" ht="38.25" x14ac:dyDescent="0.2">
      <c r="A182" s="19" t="s">
        <v>59</v>
      </c>
      <c r="B182" s="19" t="s">
        <v>64</v>
      </c>
      <c r="C182" s="19" t="s">
        <v>511</v>
      </c>
      <c r="D182" s="65" t="s">
        <v>119</v>
      </c>
      <c r="E182" s="75" t="s">
        <v>120</v>
      </c>
      <c r="F182" s="82">
        <f>5000+900.4-4293-562.2+562.1-1008.3+0.1</f>
        <v>599.0999999999998</v>
      </c>
      <c r="G182" s="82">
        <v>714.5</v>
      </c>
      <c r="H182" s="82">
        <v>0</v>
      </c>
    </row>
    <row r="183" spans="1:8" ht="51" x14ac:dyDescent="0.2">
      <c r="A183" s="19" t="s">
        <v>59</v>
      </c>
      <c r="B183" s="19" t="s">
        <v>64</v>
      </c>
      <c r="C183" s="19" t="s">
        <v>512</v>
      </c>
      <c r="D183" s="16"/>
      <c r="E183" s="75" t="s">
        <v>510</v>
      </c>
      <c r="F183" s="162">
        <f>F184</f>
        <v>160</v>
      </c>
      <c r="G183" s="162">
        <f>G184</f>
        <v>4464.8999999999996</v>
      </c>
      <c r="H183" s="162">
        <f>H184</f>
        <v>0</v>
      </c>
    </row>
    <row r="184" spans="1:8" ht="38.25" x14ac:dyDescent="0.2">
      <c r="A184" s="19" t="s">
        <v>59</v>
      </c>
      <c r="B184" s="19" t="s">
        <v>64</v>
      </c>
      <c r="C184" s="19" t="s">
        <v>512</v>
      </c>
      <c r="D184" s="65" t="s">
        <v>119</v>
      </c>
      <c r="E184" s="75" t="s">
        <v>120</v>
      </c>
      <c r="F184" s="82">
        <f>957-797</f>
        <v>160</v>
      </c>
      <c r="G184" s="82">
        <v>4464.8999999999996</v>
      </c>
      <c r="H184" s="82">
        <v>0</v>
      </c>
    </row>
    <row r="185" spans="1:8" ht="51" x14ac:dyDescent="0.2">
      <c r="A185" s="19" t="s">
        <v>59</v>
      </c>
      <c r="B185" s="19" t="s">
        <v>64</v>
      </c>
      <c r="C185" s="19" t="s">
        <v>712</v>
      </c>
      <c r="D185" s="65"/>
      <c r="E185" s="75" t="s">
        <v>713</v>
      </c>
      <c r="F185" s="82">
        <f>F186</f>
        <v>3900</v>
      </c>
      <c r="G185" s="82">
        <f t="shared" ref="G185:H185" si="53">G186</f>
        <v>0</v>
      </c>
      <c r="H185" s="82">
        <f t="shared" si="53"/>
        <v>0</v>
      </c>
    </row>
    <row r="186" spans="1:8" ht="38.25" x14ac:dyDescent="0.2">
      <c r="A186" s="19" t="s">
        <v>59</v>
      </c>
      <c r="B186" s="19" t="s">
        <v>64</v>
      </c>
      <c r="C186" s="19" t="s">
        <v>712</v>
      </c>
      <c r="D186" s="65" t="s">
        <v>119</v>
      </c>
      <c r="E186" s="75" t="s">
        <v>120</v>
      </c>
      <c r="F186" s="82">
        <v>3900</v>
      </c>
      <c r="G186" s="82">
        <v>0</v>
      </c>
      <c r="H186" s="82">
        <v>0</v>
      </c>
    </row>
    <row r="187" spans="1:8" ht="25.5" x14ac:dyDescent="0.2">
      <c r="A187" s="19" t="s">
        <v>59</v>
      </c>
      <c r="B187" s="19" t="s">
        <v>87</v>
      </c>
      <c r="C187" s="28"/>
      <c r="D187" s="28"/>
      <c r="E187" s="40" t="s">
        <v>2</v>
      </c>
      <c r="F187" s="160">
        <f>F188+F195</f>
        <v>1545.3</v>
      </c>
      <c r="G187" s="160">
        <f>G188+G195</f>
        <v>1869</v>
      </c>
      <c r="H187" s="160">
        <f>H188+H195</f>
        <v>1871</v>
      </c>
    </row>
    <row r="188" spans="1:8" ht="108.75" customHeight="1" x14ac:dyDescent="0.2">
      <c r="A188" s="16" t="s">
        <v>59</v>
      </c>
      <c r="B188" s="16" t="s">
        <v>87</v>
      </c>
      <c r="C188" s="57" t="s">
        <v>45</v>
      </c>
      <c r="D188" s="16"/>
      <c r="E188" s="126" t="s">
        <v>206</v>
      </c>
      <c r="F188" s="86">
        <f>F189+F191+F193</f>
        <v>882.4</v>
      </c>
      <c r="G188" s="86">
        <f t="shared" ref="G188:H188" si="54">G189+G191+G193</f>
        <v>700</v>
      </c>
      <c r="H188" s="86">
        <f t="shared" si="54"/>
        <v>700</v>
      </c>
    </row>
    <row r="189" spans="1:8" ht="76.5" customHeight="1" x14ac:dyDescent="0.2">
      <c r="A189" s="16" t="s">
        <v>59</v>
      </c>
      <c r="B189" s="16" t="s">
        <v>87</v>
      </c>
      <c r="C189" s="19" t="s">
        <v>319</v>
      </c>
      <c r="D189" s="28"/>
      <c r="E189" s="142" t="s">
        <v>366</v>
      </c>
      <c r="F189" s="82">
        <f t="shared" ref="F189:H189" si="55">F190</f>
        <v>297.39999999999998</v>
      </c>
      <c r="G189" s="82">
        <f t="shared" si="55"/>
        <v>100</v>
      </c>
      <c r="H189" s="82">
        <f t="shared" si="55"/>
        <v>100</v>
      </c>
    </row>
    <row r="190" spans="1:8" ht="38.25" x14ac:dyDescent="0.2">
      <c r="A190" s="16" t="s">
        <v>59</v>
      </c>
      <c r="B190" s="16" t="s">
        <v>87</v>
      </c>
      <c r="C190" s="19" t="s">
        <v>319</v>
      </c>
      <c r="D190" s="65" t="s">
        <v>119</v>
      </c>
      <c r="E190" s="75" t="s">
        <v>120</v>
      </c>
      <c r="F190" s="113">
        <f>100+47.4+150</f>
        <v>297.39999999999998</v>
      </c>
      <c r="G190" s="113">
        <v>100</v>
      </c>
      <c r="H190" s="113">
        <v>100</v>
      </c>
    </row>
    <row r="191" spans="1:8" ht="38.25" x14ac:dyDescent="0.2">
      <c r="A191" s="16" t="s">
        <v>59</v>
      </c>
      <c r="B191" s="16" t="s">
        <v>87</v>
      </c>
      <c r="C191" s="65" t="s">
        <v>320</v>
      </c>
      <c r="D191" s="28"/>
      <c r="E191" s="74" t="s">
        <v>110</v>
      </c>
      <c r="F191" s="82">
        <f>F192</f>
        <v>100</v>
      </c>
      <c r="G191" s="82">
        <f t="shared" ref="G191:H191" si="56">G192</f>
        <v>100</v>
      </c>
      <c r="H191" s="82">
        <f t="shared" si="56"/>
        <v>100</v>
      </c>
    </row>
    <row r="192" spans="1:8" ht="38.25" x14ac:dyDescent="0.2">
      <c r="A192" s="16" t="s">
        <v>59</v>
      </c>
      <c r="B192" s="16" t="s">
        <v>87</v>
      </c>
      <c r="C192" s="65" t="s">
        <v>320</v>
      </c>
      <c r="D192" s="65" t="s">
        <v>119</v>
      </c>
      <c r="E192" s="75" t="s">
        <v>120</v>
      </c>
      <c r="F192" s="82">
        <v>100</v>
      </c>
      <c r="G192" s="82">
        <v>100</v>
      </c>
      <c r="H192" s="82">
        <v>100</v>
      </c>
    </row>
    <row r="193" spans="1:8" ht="51.75" customHeight="1" x14ac:dyDescent="0.2">
      <c r="A193" s="16" t="s">
        <v>59</v>
      </c>
      <c r="B193" s="16" t="s">
        <v>87</v>
      </c>
      <c r="C193" s="65" t="s">
        <v>321</v>
      </c>
      <c r="D193" s="65"/>
      <c r="E193" s="75" t="s">
        <v>365</v>
      </c>
      <c r="F193" s="82">
        <f>F194</f>
        <v>485</v>
      </c>
      <c r="G193" s="82">
        <f t="shared" ref="G193:H193" si="57">G194</f>
        <v>500</v>
      </c>
      <c r="H193" s="82">
        <f t="shared" si="57"/>
        <v>500</v>
      </c>
    </row>
    <row r="194" spans="1:8" ht="38.25" x14ac:dyDescent="0.2">
      <c r="A194" s="16" t="s">
        <v>59</v>
      </c>
      <c r="B194" s="16" t="s">
        <v>87</v>
      </c>
      <c r="C194" s="65" t="s">
        <v>321</v>
      </c>
      <c r="D194" s="65" t="s">
        <v>119</v>
      </c>
      <c r="E194" s="75" t="s">
        <v>120</v>
      </c>
      <c r="F194" s="82">
        <f>500-15</f>
        <v>485</v>
      </c>
      <c r="G194" s="82">
        <v>500</v>
      </c>
      <c r="H194" s="82">
        <v>500</v>
      </c>
    </row>
    <row r="195" spans="1:8" ht="102" x14ac:dyDescent="0.2">
      <c r="A195" s="5" t="s">
        <v>59</v>
      </c>
      <c r="B195" s="5" t="s">
        <v>87</v>
      </c>
      <c r="C195" s="60">
        <v>400000000</v>
      </c>
      <c r="D195" s="16"/>
      <c r="E195" s="126" t="s">
        <v>207</v>
      </c>
      <c r="F195" s="86">
        <f>F196+F198+F200+F202+F204+F206</f>
        <v>662.9</v>
      </c>
      <c r="G195" s="86">
        <f t="shared" ref="G195:H195" si="58">G196+G198+G200+G202+G204+G206</f>
        <v>1169</v>
      </c>
      <c r="H195" s="86">
        <f t="shared" si="58"/>
        <v>1171</v>
      </c>
    </row>
    <row r="196" spans="1:8" ht="96" customHeight="1" x14ac:dyDescent="0.2">
      <c r="A196" s="16" t="s">
        <v>59</v>
      </c>
      <c r="B196" s="16" t="s">
        <v>87</v>
      </c>
      <c r="C196" s="97" t="s">
        <v>379</v>
      </c>
      <c r="D196" s="65"/>
      <c r="E196" s="75" t="s">
        <v>378</v>
      </c>
      <c r="F196" s="113">
        <f>F197</f>
        <v>100</v>
      </c>
      <c r="G196" s="113">
        <f>G197</f>
        <v>100</v>
      </c>
      <c r="H196" s="113">
        <f>H197</f>
        <v>100</v>
      </c>
    </row>
    <row r="197" spans="1:8" ht="38.25" x14ac:dyDescent="0.2">
      <c r="A197" s="16" t="s">
        <v>59</v>
      </c>
      <c r="B197" s="16" t="s">
        <v>87</v>
      </c>
      <c r="C197" s="97" t="s">
        <v>379</v>
      </c>
      <c r="D197" s="65" t="s">
        <v>119</v>
      </c>
      <c r="E197" s="75" t="s">
        <v>120</v>
      </c>
      <c r="F197" s="113">
        <v>100</v>
      </c>
      <c r="G197" s="113">
        <v>100</v>
      </c>
      <c r="H197" s="113">
        <v>100</v>
      </c>
    </row>
    <row r="198" spans="1:8" ht="32.450000000000003" customHeight="1" x14ac:dyDescent="0.2">
      <c r="A198" s="16" t="s">
        <v>59</v>
      </c>
      <c r="B198" s="16" t="s">
        <v>87</v>
      </c>
      <c r="C198" s="97" t="s">
        <v>381</v>
      </c>
      <c r="D198" s="65"/>
      <c r="E198" s="75" t="s">
        <v>380</v>
      </c>
      <c r="F198" s="113">
        <f>F199</f>
        <v>50</v>
      </c>
      <c r="G198" s="113">
        <f>G199</f>
        <v>50</v>
      </c>
      <c r="H198" s="113">
        <f>H199</f>
        <v>50</v>
      </c>
    </row>
    <row r="199" spans="1:8" ht="38.25" x14ac:dyDescent="0.2">
      <c r="A199" s="16" t="s">
        <v>59</v>
      </c>
      <c r="B199" s="16" t="s">
        <v>87</v>
      </c>
      <c r="C199" s="97" t="s">
        <v>381</v>
      </c>
      <c r="D199" s="65" t="s">
        <v>119</v>
      </c>
      <c r="E199" s="75" t="s">
        <v>120</v>
      </c>
      <c r="F199" s="113">
        <v>50</v>
      </c>
      <c r="G199" s="113">
        <v>50</v>
      </c>
      <c r="H199" s="113">
        <v>50</v>
      </c>
    </row>
    <row r="200" spans="1:8" ht="54.6" customHeight="1" x14ac:dyDescent="0.2">
      <c r="A200" s="16" t="s">
        <v>59</v>
      </c>
      <c r="B200" s="16" t="s">
        <v>87</v>
      </c>
      <c r="C200" s="97" t="s">
        <v>383</v>
      </c>
      <c r="D200" s="65"/>
      <c r="E200" s="75" t="s">
        <v>382</v>
      </c>
      <c r="F200" s="113">
        <f>F201</f>
        <v>170</v>
      </c>
      <c r="G200" s="113">
        <f>G201</f>
        <v>170</v>
      </c>
      <c r="H200" s="113">
        <f>H201</f>
        <v>170</v>
      </c>
    </row>
    <row r="201" spans="1:8" ht="38.25" x14ac:dyDescent="0.2">
      <c r="A201" s="16" t="s">
        <v>59</v>
      </c>
      <c r="B201" s="16" t="s">
        <v>87</v>
      </c>
      <c r="C201" s="97" t="s">
        <v>383</v>
      </c>
      <c r="D201" s="65" t="s">
        <v>119</v>
      </c>
      <c r="E201" s="75" t="s">
        <v>120</v>
      </c>
      <c r="F201" s="113">
        <v>170</v>
      </c>
      <c r="G201" s="113">
        <v>170</v>
      </c>
      <c r="H201" s="113">
        <v>170</v>
      </c>
    </row>
    <row r="202" spans="1:8" ht="53.45" customHeight="1" x14ac:dyDescent="0.2">
      <c r="A202" s="16" t="s">
        <v>59</v>
      </c>
      <c r="B202" s="16" t="s">
        <v>87</v>
      </c>
      <c r="C202" s="97" t="s">
        <v>401</v>
      </c>
      <c r="D202" s="65"/>
      <c r="E202" s="75" t="s">
        <v>400</v>
      </c>
      <c r="F202" s="113">
        <f>F203</f>
        <v>42.9</v>
      </c>
      <c r="G202" s="113">
        <f t="shared" ref="G202:H202" si="59">G203</f>
        <v>49</v>
      </c>
      <c r="H202" s="113">
        <f t="shared" si="59"/>
        <v>51</v>
      </c>
    </row>
    <row r="203" spans="1:8" ht="38.25" x14ac:dyDescent="0.2">
      <c r="A203" s="16" t="s">
        <v>59</v>
      </c>
      <c r="B203" s="16" t="s">
        <v>87</v>
      </c>
      <c r="C203" s="97" t="s">
        <v>401</v>
      </c>
      <c r="D203" s="65" t="s">
        <v>119</v>
      </c>
      <c r="E203" s="75" t="s">
        <v>120</v>
      </c>
      <c r="F203" s="113">
        <f>47.1-4.2</f>
        <v>42.9</v>
      </c>
      <c r="G203" s="113">
        <v>49</v>
      </c>
      <c r="H203" s="113">
        <v>51</v>
      </c>
    </row>
    <row r="204" spans="1:8" ht="69" customHeight="1" x14ac:dyDescent="0.2">
      <c r="A204" s="16" t="s">
        <v>59</v>
      </c>
      <c r="B204" s="16" t="s">
        <v>87</v>
      </c>
      <c r="C204" s="97" t="s">
        <v>527</v>
      </c>
      <c r="D204" s="65"/>
      <c r="E204" s="75" t="s">
        <v>384</v>
      </c>
      <c r="F204" s="113">
        <f>F205</f>
        <v>300</v>
      </c>
      <c r="G204" s="113">
        <f>G205</f>
        <v>300</v>
      </c>
      <c r="H204" s="113">
        <f>H205</f>
        <v>300</v>
      </c>
    </row>
    <row r="205" spans="1:8" ht="63.75" x14ac:dyDescent="0.2">
      <c r="A205" s="16" t="s">
        <v>59</v>
      </c>
      <c r="B205" s="16" t="s">
        <v>87</v>
      </c>
      <c r="C205" s="97" t="s">
        <v>527</v>
      </c>
      <c r="D205" s="16" t="s">
        <v>10</v>
      </c>
      <c r="E205" s="75" t="s">
        <v>154</v>
      </c>
      <c r="F205" s="113">
        <v>300</v>
      </c>
      <c r="G205" s="113">
        <v>300</v>
      </c>
      <c r="H205" s="113">
        <v>300</v>
      </c>
    </row>
    <row r="206" spans="1:8" ht="68.45" customHeight="1" x14ac:dyDescent="0.2">
      <c r="A206" s="16" t="s">
        <v>59</v>
      </c>
      <c r="B206" s="16" t="s">
        <v>87</v>
      </c>
      <c r="C206" s="97" t="s">
        <v>528</v>
      </c>
      <c r="D206" s="65"/>
      <c r="E206" s="75" t="s">
        <v>171</v>
      </c>
      <c r="F206" s="113">
        <f>F207</f>
        <v>0</v>
      </c>
      <c r="G206" s="113">
        <f>G207</f>
        <v>500</v>
      </c>
      <c r="H206" s="113">
        <f>H207</f>
        <v>500</v>
      </c>
    </row>
    <row r="207" spans="1:8" ht="63.75" x14ac:dyDescent="0.2">
      <c r="A207" s="16" t="s">
        <v>59</v>
      </c>
      <c r="B207" s="16" t="s">
        <v>87</v>
      </c>
      <c r="C207" s="97" t="s">
        <v>528</v>
      </c>
      <c r="D207" s="16" t="s">
        <v>10</v>
      </c>
      <c r="E207" s="75" t="s">
        <v>154</v>
      </c>
      <c r="F207" s="113">
        <f>500-500</f>
        <v>0</v>
      </c>
      <c r="G207" s="113">
        <v>500</v>
      </c>
      <c r="H207" s="113">
        <v>500</v>
      </c>
    </row>
    <row r="208" spans="1:8" ht="30" x14ac:dyDescent="0.25">
      <c r="A208" s="4" t="s">
        <v>60</v>
      </c>
      <c r="B208" s="3"/>
      <c r="C208" s="3"/>
      <c r="D208" s="3"/>
      <c r="E208" s="43" t="s">
        <v>34</v>
      </c>
      <c r="F208" s="156">
        <f>F209+F231+F273+F330</f>
        <v>254268</v>
      </c>
      <c r="G208" s="156">
        <f>G209+G231+G273+G330</f>
        <v>148724.40000000002</v>
      </c>
      <c r="H208" s="156">
        <f>H209+H231+H273+H330</f>
        <v>135807.9</v>
      </c>
    </row>
    <row r="209" spans="1:8" ht="14.25" x14ac:dyDescent="0.2">
      <c r="A209" s="28" t="s">
        <v>60</v>
      </c>
      <c r="B209" s="28" t="s">
        <v>53</v>
      </c>
      <c r="C209" s="28"/>
      <c r="D209" s="28"/>
      <c r="E209" s="25" t="s">
        <v>32</v>
      </c>
      <c r="F209" s="160">
        <f>F210</f>
        <v>7668.7000000000007</v>
      </c>
      <c r="G209" s="160">
        <f>G210</f>
        <v>9971.2999999999993</v>
      </c>
      <c r="H209" s="160">
        <f>H210</f>
        <v>8553.7999999999993</v>
      </c>
    </row>
    <row r="210" spans="1:8" ht="89.25" x14ac:dyDescent="0.2">
      <c r="A210" s="5" t="s">
        <v>60</v>
      </c>
      <c r="B210" s="5" t="s">
        <v>53</v>
      </c>
      <c r="C210" s="57" t="s">
        <v>107</v>
      </c>
      <c r="D210" s="16"/>
      <c r="E210" s="115" t="s">
        <v>208</v>
      </c>
      <c r="F210" s="86">
        <f>F211+F213+F215+F217+F219+F221+F223+F225+F227+F229</f>
        <v>7668.7000000000007</v>
      </c>
      <c r="G210" s="86">
        <f t="shared" ref="G210:H210" si="60">G211+G213+G215+G217+G219+G221+G223+G225+G227+G229</f>
        <v>9971.2999999999993</v>
      </c>
      <c r="H210" s="86">
        <f t="shared" si="60"/>
        <v>8553.7999999999993</v>
      </c>
    </row>
    <row r="211" spans="1:8" ht="51" x14ac:dyDescent="0.25">
      <c r="A211" s="16" t="s">
        <v>60</v>
      </c>
      <c r="B211" s="16" t="s">
        <v>53</v>
      </c>
      <c r="C211" s="98" t="s">
        <v>412</v>
      </c>
      <c r="D211" s="3"/>
      <c r="E211" s="75" t="s">
        <v>411</v>
      </c>
      <c r="F211" s="82">
        <f>SUM(F212:F212)</f>
        <v>3436.6000000000004</v>
      </c>
      <c r="G211" s="82">
        <f>SUM(G212:G212)</f>
        <v>1150</v>
      </c>
      <c r="H211" s="82">
        <f>SUM(H212:H212)</f>
        <v>1150</v>
      </c>
    </row>
    <row r="212" spans="1:8" ht="38.25" x14ac:dyDescent="0.2">
      <c r="A212" s="16" t="s">
        <v>60</v>
      </c>
      <c r="B212" s="16" t="s">
        <v>53</v>
      </c>
      <c r="C212" s="98" t="s">
        <v>412</v>
      </c>
      <c r="D212" s="65" t="s">
        <v>119</v>
      </c>
      <c r="E212" s="75" t="s">
        <v>120</v>
      </c>
      <c r="F212" s="82">
        <f>1036.9+1514.4+885.3</f>
        <v>3436.6000000000004</v>
      </c>
      <c r="G212" s="82">
        <v>1150</v>
      </c>
      <c r="H212" s="82">
        <v>1150</v>
      </c>
    </row>
    <row r="213" spans="1:8" ht="38.25" x14ac:dyDescent="0.2">
      <c r="A213" s="16" t="s">
        <v>60</v>
      </c>
      <c r="B213" s="16" t="s">
        <v>53</v>
      </c>
      <c r="C213" s="19" t="s">
        <v>414</v>
      </c>
      <c r="D213" s="65"/>
      <c r="E213" s="75" t="s">
        <v>413</v>
      </c>
      <c r="F213" s="113">
        <f>F214</f>
        <v>35</v>
      </c>
      <c r="G213" s="113">
        <f t="shared" ref="G213:H213" si="61">G214</f>
        <v>800</v>
      </c>
      <c r="H213" s="113">
        <f t="shared" si="61"/>
        <v>800</v>
      </c>
    </row>
    <row r="214" spans="1:8" ht="38.25" x14ac:dyDescent="0.2">
      <c r="A214" s="16" t="s">
        <v>60</v>
      </c>
      <c r="B214" s="16" t="s">
        <v>53</v>
      </c>
      <c r="C214" s="19" t="s">
        <v>414</v>
      </c>
      <c r="D214" s="65" t="s">
        <v>119</v>
      </c>
      <c r="E214" s="75" t="s">
        <v>120</v>
      </c>
      <c r="F214" s="113">
        <f>1500-1465</f>
        <v>35</v>
      </c>
      <c r="G214" s="113">
        <v>800</v>
      </c>
      <c r="H214" s="113">
        <v>800</v>
      </c>
    </row>
    <row r="215" spans="1:8" ht="142.5" customHeight="1" x14ac:dyDescent="0.2">
      <c r="A215" s="16" t="s">
        <v>60</v>
      </c>
      <c r="B215" s="16" t="s">
        <v>53</v>
      </c>
      <c r="C215" s="62">
        <v>550123490</v>
      </c>
      <c r="D215" s="16"/>
      <c r="E215" s="75" t="s">
        <v>415</v>
      </c>
      <c r="F215" s="82">
        <f>F216</f>
        <v>100</v>
      </c>
      <c r="G215" s="82">
        <f>G216</f>
        <v>100</v>
      </c>
      <c r="H215" s="82">
        <f>H216</f>
        <v>100</v>
      </c>
    </row>
    <row r="216" spans="1:8" ht="38.25" x14ac:dyDescent="0.2">
      <c r="A216" s="16" t="s">
        <v>60</v>
      </c>
      <c r="B216" s="16" t="s">
        <v>53</v>
      </c>
      <c r="C216" s="62">
        <v>550123490</v>
      </c>
      <c r="D216" s="65" t="s">
        <v>119</v>
      </c>
      <c r="E216" s="75" t="s">
        <v>120</v>
      </c>
      <c r="F216" s="82">
        <v>100</v>
      </c>
      <c r="G216" s="82">
        <v>100</v>
      </c>
      <c r="H216" s="82">
        <v>100</v>
      </c>
    </row>
    <row r="217" spans="1:8" ht="63.75" x14ac:dyDescent="0.2">
      <c r="A217" s="16" t="s">
        <v>60</v>
      </c>
      <c r="B217" s="16" t="s">
        <v>53</v>
      </c>
      <c r="C217" s="62">
        <v>550123500</v>
      </c>
      <c r="D217" s="65"/>
      <c r="E217" s="75" t="s">
        <v>416</v>
      </c>
      <c r="F217" s="82">
        <f>F218</f>
        <v>45</v>
      </c>
      <c r="G217" s="82">
        <f t="shared" ref="G217:H217" si="62">G218</f>
        <v>13.2</v>
      </c>
      <c r="H217" s="82">
        <f t="shared" si="62"/>
        <v>14.5</v>
      </c>
    </row>
    <row r="218" spans="1:8" ht="38.25" x14ac:dyDescent="0.2">
      <c r="A218" s="16" t="s">
        <v>60</v>
      </c>
      <c r="B218" s="16" t="s">
        <v>53</v>
      </c>
      <c r="C218" s="62">
        <v>550123500</v>
      </c>
      <c r="D218" s="65" t="s">
        <v>119</v>
      </c>
      <c r="E218" s="75" t="s">
        <v>120</v>
      </c>
      <c r="F218" s="82">
        <f>12+33</f>
        <v>45</v>
      </c>
      <c r="G218" s="82">
        <v>13.2</v>
      </c>
      <c r="H218" s="82">
        <v>14.5</v>
      </c>
    </row>
    <row r="219" spans="1:8" ht="25.5" x14ac:dyDescent="0.2">
      <c r="A219" s="16" t="s">
        <v>60</v>
      </c>
      <c r="B219" s="16" t="s">
        <v>53</v>
      </c>
      <c r="C219" s="98" t="s">
        <v>417</v>
      </c>
      <c r="D219" s="65"/>
      <c r="E219" s="75" t="s">
        <v>173</v>
      </c>
      <c r="F219" s="82">
        <f>F220</f>
        <v>818.3</v>
      </c>
      <c r="G219" s="82">
        <f>G220</f>
        <v>702.1</v>
      </c>
      <c r="H219" s="82">
        <f>H220</f>
        <v>772.3</v>
      </c>
    </row>
    <row r="220" spans="1:8" ht="38.25" x14ac:dyDescent="0.2">
      <c r="A220" s="16" t="s">
        <v>60</v>
      </c>
      <c r="B220" s="16" t="s">
        <v>53</v>
      </c>
      <c r="C220" s="98" t="s">
        <v>417</v>
      </c>
      <c r="D220" s="65" t="s">
        <v>119</v>
      </c>
      <c r="E220" s="75" t="s">
        <v>120</v>
      </c>
      <c r="F220" s="82">
        <v>818.3</v>
      </c>
      <c r="G220" s="82">
        <v>702.1</v>
      </c>
      <c r="H220" s="82">
        <v>772.3</v>
      </c>
    </row>
    <row r="221" spans="1:8" ht="51" x14ac:dyDescent="0.2">
      <c r="A221" s="16" t="s">
        <v>60</v>
      </c>
      <c r="B221" s="16" t="s">
        <v>53</v>
      </c>
      <c r="C221" s="62">
        <v>550123510</v>
      </c>
      <c r="D221" s="65"/>
      <c r="E221" s="75" t="s">
        <v>193</v>
      </c>
      <c r="F221" s="82">
        <f>F222</f>
        <v>0</v>
      </c>
      <c r="G221" s="82">
        <f t="shared" ref="G221:H221" si="63">G222</f>
        <v>1600</v>
      </c>
      <c r="H221" s="82">
        <f t="shared" si="63"/>
        <v>0</v>
      </c>
    </row>
    <row r="222" spans="1:8" ht="25.5" x14ac:dyDescent="0.2">
      <c r="A222" s="16" t="s">
        <v>60</v>
      </c>
      <c r="B222" s="16" t="s">
        <v>53</v>
      </c>
      <c r="C222" s="62">
        <v>550123510</v>
      </c>
      <c r="D222" s="65" t="s">
        <v>96</v>
      </c>
      <c r="E222" s="75" t="s">
        <v>97</v>
      </c>
      <c r="F222" s="82">
        <f>2400-2046.9-353.1</f>
        <v>0</v>
      </c>
      <c r="G222" s="82">
        <v>1600</v>
      </c>
      <c r="H222" s="82">
        <v>0</v>
      </c>
    </row>
    <row r="223" spans="1:8" ht="63.75" x14ac:dyDescent="0.2">
      <c r="A223" s="16" t="s">
        <v>60</v>
      </c>
      <c r="B223" s="16" t="s">
        <v>53</v>
      </c>
      <c r="C223" s="62">
        <v>550123520</v>
      </c>
      <c r="D223" s="65"/>
      <c r="E223" s="75" t="s">
        <v>418</v>
      </c>
      <c r="F223" s="82">
        <f>F224</f>
        <v>0</v>
      </c>
      <c r="G223" s="82">
        <f>G224</f>
        <v>2200</v>
      </c>
      <c r="H223" s="82">
        <f>H224</f>
        <v>2200</v>
      </c>
    </row>
    <row r="224" spans="1:8" x14ac:dyDescent="0.2">
      <c r="A224" s="16" t="s">
        <v>60</v>
      </c>
      <c r="B224" s="16" t="s">
        <v>53</v>
      </c>
      <c r="C224" s="62">
        <v>550123520</v>
      </c>
      <c r="D224" s="65" t="s">
        <v>124</v>
      </c>
      <c r="E224" s="76" t="s">
        <v>128</v>
      </c>
      <c r="F224" s="82">
        <v>0</v>
      </c>
      <c r="G224" s="82">
        <v>2200</v>
      </c>
      <c r="H224" s="82">
        <v>2200</v>
      </c>
    </row>
    <row r="225" spans="1:8" ht="38.25" x14ac:dyDescent="0.2">
      <c r="A225" s="16" t="s">
        <v>60</v>
      </c>
      <c r="B225" s="16" t="s">
        <v>53</v>
      </c>
      <c r="C225" s="19" t="s">
        <v>420</v>
      </c>
      <c r="D225" s="65"/>
      <c r="E225" s="76" t="s">
        <v>419</v>
      </c>
      <c r="F225" s="82">
        <f>F226</f>
        <v>500</v>
      </c>
      <c r="G225" s="82">
        <f>G226</f>
        <v>600</v>
      </c>
      <c r="H225" s="82">
        <f>H226</f>
        <v>600</v>
      </c>
    </row>
    <row r="226" spans="1:8" ht="38.25" x14ac:dyDescent="0.2">
      <c r="A226" s="16" t="s">
        <v>60</v>
      </c>
      <c r="B226" s="16" t="s">
        <v>53</v>
      </c>
      <c r="C226" s="19" t="s">
        <v>420</v>
      </c>
      <c r="D226" s="65" t="s">
        <v>119</v>
      </c>
      <c r="E226" s="75" t="s">
        <v>120</v>
      </c>
      <c r="F226" s="82">
        <v>500</v>
      </c>
      <c r="G226" s="113">
        <v>600</v>
      </c>
      <c r="H226" s="113">
        <v>600</v>
      </c>
    </row>
    <row r="227" spans="1:8" ht="76.5" x14ac:dyDescent="0.2">
      <c r="A227" s="65" t="s">
        <v>60</v>
      </c>
      <c r="B227" s="65" t="s">
        <v>53</v>
      </c>
      <c r="C227" s="62">
        <v>550123540</v>
      </c>
      <c r="D227" s="16"/>
      <c r="E227" s="75" t="s">
        <v>421</v>
      </c>
      <c r="F227" s="82">
        <f t="shared" ref="F227:H227" si="64">F228</f>
        <v>2033.8</v>
      </c>
      <c r="G227" s="82">
        <f t="shared" si="64"/>
        <v>2036</v>
      </c>
      <c r="H227" s="82">
        <f t="shared" si="64"/>
        <v>2117</v>
      </c>
    </row>
    <row r="228" spans="1:8" ht="38.25" x14ac:dyDescent="0.2">
      <c r="A228" s="16" t="s">
        <v>60</v>
      </c>
      <c r="B228" s="16" t="s">
        <v>53</v>
      </c>
      <c r="C228" s="62">
        <v>550123540</v>
      </c>
      <c r="D228" s="65" t="s">
        <v>119</v>
      </c>
      <c r="E228" s="75" t="s">
        <v>120</v>
      </c>
      <c r="F228" s="113">
        <f>1501.3+532.5</f>
        <v>2033.8</v>
      </c>
      <c r="G228" s="113">
        <v>2036</v>
      </c>
      <c r="H228" s="113">
        <v>2117</v>
      </c>
    </row>
    <row r="229" spans="1:8" ht="102" x14ac:dyDescent="0.2">
      <c r="A229" s="16" t="s">
        <v>60</v>
      </c>
      <c r="B229" s="16" t="s">
        <v>53</v>
      </c>
      <c r="C229" s="62">
        <v>550123560</v>
      </c>
      <c r="D229" s="65"/>
      <c r="E229" s="75" t="s">
        <v>422</v>
      </c>
      <c r="F229" s="82">
        <f>F230</f>
        <v>700</v>
      </c>
      <c r="G229" s="82">
        <f t="shared" ref="G229:H229" si="65">G230</f>
        <v>770</v>
      </c>
      <c r="H229" s="82">
        <f t="shared" si="65"/>
        <v>800</v>
      </c>
    </row>
    <row r="230" spans="1:8" ht="46.9" customHeight="1" x14ac:dyDescent="0.2">
      <c r="A230" s="16" t="s">
        <v>60</v>
      </c>
      <c r="B230" s="16" t="s">
        <v>53</v>
      </c>
      <c r="C230" s="62">
        <v>550123560</v>
      </c>
      <c r="D230" s="65" t="s">
        <v>119</v>
      </c>
      <c r="E230" s="75" t="s">
        <v>120</v>
      </c>
      <c r="F230" s="82">
        <v>700</v>
      </c>
      <c r="G230" s="82">
        <v>770</v>
      </c>
      <c r="H230" s="82">
        <v>800</v>
      </c>
    </row>
    <row r="231" spans="1:8" ht="14.25" x14ac:dyDescent="0.2">
      <c r="A231" s="28" t="s">
        <v>60</v>
      </c>
      <c r="B231" s="28" t="s">
        <v>54</v>
      </c>
      <c r="C231" s="28"/>
      <c r="D231" s="28"/>
      <c r="E231" s="25" t="s">
        <v>31</v>
      </c>
      <c r="F231" s="160">
        <f>F232+F249+F270</f>
        <v>126713.9</v>
      </c>
      <c r="G231" s="160">
        <f>G232+G249+G270</f>
        <v>57709.5</v>
      </c>
      <c r="H231" s="160">
        <f>H232+H249+H270</f>
        <v>45410.6</v>
      </c>
    </row>
    <row r="232" spans="1:8" ht="102.75" customHeight="1" x14ac:dyDescent="0.2">
      <c r="A232" s="5" t="s">
        <v>60</v>
      </c>
      <c r="B232" s="5" t="s">
        <v>54</v>
      </c>
      <c r="C232" s="60">
        <v>400000000</v>
      </c>
      <c r="D232" s="5"/>
      <c r="E232" s="126" t="s">
        <v>207</v>
      </c>
      <c r="F232" s="86">
        <f>F233+F235+F237+F239+F241+F243+F245+F247</f>
        <v>30333.599999999995</v>
      </c>
      <c r="G232" s="86">
        <f t="shared" ref="G232:H232" si="66">G233+G235+G237+G239+G241+G243+G245+G247</f>
        <v>18195</v>
      </c>
      <c r="H232" s="86">
        <f t="shared" si="66"/>
        <v>13615.3</v>
      </c>
    </row>
    <row r="233" spans="1:8" ht="114.75" x14ac:dyDescent="0.2">
      <c r="A233" s="16" t="s">
        <v>60</v>
      </c>
      <c r="B233" s="16" t="s">
        <v>54</v>
      </c>
      <c r="C233" s="58">
        <v>450127330</v>
      </c>
      <c r="D233" s="16"/>
      <c r="E233" s="75" t="s">
        <v>394</v>
      </c>
      <c r="F233" s="113">
        <f>F234</f>
        <v>490.3</v>
      </c>
      <c r="G233" s="113">
        <f t="shared" ref="G233:H233" si="67">G234</f>
        <v>490.3</v>
      </c>
      <c r="H233" s="113">
        <f t="shared" si="67"/>
        <v>490.3</v>
      </c>
    </row>
    <row r="234" spans="1:8" ht="63.75" x14ac:dyDescent="0.2">
      <c r="A234" s="16" t="s">
        <v>60</v>
      </c>
      <c r="B234" s="16" t="s">
        <v>54</v>
      </c>
      <c r="C234" s="58">
        <v>450127330</v>
      </c>
      <c r="D234" s="16" t="s">
        <v>10</v>
      </c>
      <c r="E234" s="75" t="s">
        <v>137</v>
      </c>
      <c r="F234" s="113">
        <v>490.3</v>
      </c>
      <c r="G234" s="113">
        <v>490.3</v>
      </c>
      <c r="H234" s="113">
        <v>490.3</v>
      </c>
    </row>
    <row r="235" spans="1:8" ht="127.5" x14ac:dyDescent="0.2">
      <c r="A235" s="16" t="s">
        <v>60</v>
      </c>
      <c r="B235" s="16" t="s">
        <v>54</v>
      </c>
      <c r="C235" s="58">
        <v>450127340</v>
      </c>
      <c r="D235" s="16"/>
      <c r="E235" s="75" t="s">
        <v>395</v>
      </c>
      <c r="F235" s="113">
        <f>F236</f>
        <v>28</v>
      </c>
      <c r="G235" s="113">
        <f t="shared" ref="G235:H235" si="68">G236</f>
        <v>17.600000000000001</v>
      </c>
      <c r="H235" s="113">
        <f t="shared" si="68"/>
        <v>17.600000000000001</v>
      </c>
    </row>
    <row r="236" spans="1:8" ht="63.75" x14ac:dyDescent="0.2">
      <c r="A236" s="16" t="s">
        <v>60</v>
      </c>
      <c r="B236" s="16" t="s">
        <v>54</v>
      </c>
      <c r="C236" s="58">
        <v>450127340</v>
      </c>
      <c r="D236" s="16" t="s">
        <v>10</v>
      </c>
      <c r="E236" s="75" t="s">
        <v>137</v>
      </c>
      <c r="F236" s="113">
        <f>17.6+10.4</f>
        <v>28</v>
      </c>
      <c r="G236" s="113">
        <v>17.600000000000001</v>
      </c>
      <c r="H236" s="113">
        <v>17.600000000000001</v>
      </c>
    </row>
    <row r="237" spans="1:8" ht="102" x14ac:dyDescent="0.2">
      <c r="A237" s="16" t="s">
        <v>60</v>
      </c>
      <c r="B237" s="16" t="s">
        <v>54</v>
      </c>
      <c r="C237" s="58">
        <v>450127350</v>
      </c>
      <c r="D237" s="16"/>
      <c r="E237" s="75" t="s">
        <v>396</v>
      </c>
      <c r="F237" s="113">
        <f>F238</f>
        <v>8986.9000000000015</v>
      </c>
      <c r="G237" s="113">
        <f t="shared" ref="G237:H237" si="69">G238</f>
        <v>8326.4</v>
      </c>
      <c r="H237" s="113">
        <f t="shared" si="69"/>
        <v>3372.2</v>
      </c>
    </row>
    <row r="238" spans="1:8" ht="114.75" x14ac:dyDescent="0.2">
      <c r="A238" s="16" t="s">
        <v>60</v>
      </c>
      <c r="B238" s="16" t="s">
        <v>54</v>
      </c>
      <c r="C238" s="58">
        <v>450127350</v>
      </c>
      <c r="D238" s="65" t="s">
        <v>546</v>
      </c>
      <c r="E238" s="174" t="s">
        <v>545</v>
      </c>
      <c r="F238" s="113">
        <f>9922.7-935.8</f>
        <v>8986.9000000000015</v>
      </c>
      <c r="G238" s="113">
        <v>8326.4</v>
      </c>
      <c r="H238" s="113">
        <v>3372.2</v>
      </c>
    </row>
    <row r="239" spans="1:8" ht="153" x14ac:dyDescent="0.2">
      <c r="A239" s="16" t="s">
        <v>60</v>
      </c>
      <c r="B239" s="16" t="s">
        <v>54</v>
      </c>
      <c r="C239" s="58">
        <v>450127360</v>
      </c>
      <c r="D239" s="16"/>
      <c r="E239" s="75" t="s">
        <v>399</v>
      </c>
      <c r="F239" s="113">
        <f>F240</f>
        <v>4719.3999999999996</v>
      </c>
      <c r="G239" s="113">
        <f t="shared" ref="G239:H239" si="70">G240</f>
        <v>0</v>
      </c>
      <c r="H239" s="113">
        <f t="shared" si="70"/>
        <v>0</v>
      </c>
    </row>
    <row r="240" spans="1:8" ht="63.75" x14ac:dyDescent="0.2">
      <c r="A240" s="16" t="s">
        <v>60</v>
      </c>
      <c r="B240" s="16" t="s">
        <v>54</v>
      </c>
      <c r="C240" s="58">
        <v>450127360</v>
      </c>
      <c r="D240" s="16" t="s">
        <v>10</v>
      </c>
      <c r="E240" s="75" t="s">
        <v>137</v>
      </c>
      <c r="F240" s="113">
        <f>4730-10.6</f>
        <v>4719.3999999999996</v>
      </c>
      <c r="G240" s="113">
        <v>0</v>
      </c>
      <c r="H240" s="113">
        <v>0</v>
      </c>
    </row>
    <row r="241" spans="1:8" ht="114.75" x14ac:dyDescent="0.2">
      <c r="A241" s="16" t="s">
        <v>60</v>
      </c>
      <c r="B241" s="16" t="s">
        <v>54</v>
      </c>
      <c r="C241" s="58">
        <v>450127370</v>
      </c>
      <c r="D241" s="16"/>
      <c r="E241" s="75" t="s">
        <v>397</v>
      </c>
      <c r="F241" s="113">
        <f>F242</f>
        <v>4169.5</v>
      </c>
      <c r="G241" s="113">
        <f t="shared" ref="G241:H241" si="71">G242</f>
        <v>6549</v>
      </c>
      <c r="H241" s="113">
        <f t="shared" si="71"/>
        <v>6811</v>
      </c>
    </row>
    <row r="242" spans="1:8" ht="63.75" x14ac:dyDescent="0.2">
      <c r="A242" s="16" t="s">
        <v>60</v>
      </c>
      <c r="B242" s="16" t="s">
        <v>54</v>
      </c>
      <c r="C242" s="58">
        <v>450127370</v>
      </c>
      <c r="D242" s="16" t="s">
        <v>10</v>
      </c>
      <c r="E242" s="75" t="s">
        <v>137</v>
      </c>
      <c r="F242" s="113">
        <f>6297.2-0.1-2127.6</f>
        <v>4169.5</v>
      </c>
      <c r="G242" s="113">
        <v>6549</v>
      </c>
      <c r="H242" s="113">
        <v>6811</v>
      </c>
    </row>
    <row r="243" spans="1:8" ht="153" x14ac:dyDescent="0.2">
      <c r="A243" s="16" t="s">
        <v>60</v>
      </c>
      <c r="B243" s="16" t="s">
        <v>54</v>
      </c>
      <c r="C243" s="58">
        <v>450127380</v>
      </c>
      <c r="D243" s="16"/>
      <c r="E243" s="75" t="s">
        <v>398</v>
      </c>
      <c r="F243" s="113">
        <f>F244</f>
        <v>2703.6</v>
      </c>
      <c r="G243" s="113">
        <f t="shared" ref="G243:H243" si="72">G244</f>
        <v>2811.7</v>
      </c>
      <c r="H243" s="113">
        <f t="shared" si="72"/>
        <v>2924.2</v>
      </c>
    </row>
    <row r="244" spans="1:8" ht="63.75" x14ac:dyDescent="0.2">
      <c r="A244" s="16" t="s">
        <v>60</v>
      </c>
      <c r="B244" s="16" t="s">
        <v>54</v>
      </c>
      <c r="C244" s="58">
        <v>450127380</v>
      </c>
      <c r="D244" s="65" t="s">
        <v>10</v>
      </c>
      <c r="E244" s="75" t="s">
        <v>137</v>
      </c>
      <c r="F244" s="113">
        <v>2703.6</v>
      </c>
      <c r="G244" s="113">
        <v>2811.7</v>
      </c>
      <c r="H244" s="113">
        <v>2924.2</v>
      </c>
    </row>
    <row r="245" spans="1:8" ht="116.25" customHeight="1" x14ac:dyDescent="0.25">
      <c r="A245" s="16" t="s">
        <v>60</v>
      </c>
      <c r="B245" s="16" t="s">
        <v>54</v>
      </c>
      <c r="C245" s="58">
        <v>450127390</v>
      </c>
      <c r="D245" s="16"/>
      <c r="E245" s="177" t="s">
        <v>569</v>
      </c>
      <c r="F245" s="113">
        <f>F246</f>
        <v>7108.3</v>
      </c>
      <c r="G245" s="113">
        <f t="shared" ref="G245:H245" si="73">G246</f>
        <v>0</v>
      </c>
      <c r="H245" s="113">
        <f t="shared" si="73"/>
        <v>0</v>
      </c>
    </row>
    <row r="246" spans="1:8" ht="63.75" x14ac:dyDescent="0.2">
      <c r="A246" s="16" t="s">
        <v>60</v>
      </c>
      <c r="B246" s="16" t="s">
        <v>54</v>
      </c>
      <c r="C246" s="58">
        <v>450127390</v>
      </c>
      <c r="D246" s="65" t="s">
        <v>10</v>
      </c>
      <c r="E246" s="75" t="s">
        <v>137</v>
      </c>
      <c r="F246" s="113">
        <v>7108.3</v>
      </c>
      <c r="G246" s="113">
        <v>0</v>
      </c>
      <c r="H246" s="113">
        <v>0</v>
      </c>
    </row>
    <row r="247" spans="1:8" ht="90" customHeight="1" x14ac:dyDescent="0.2">
      <c r="A247" s="16" t="s">
        <v>60</v>
      </c>
      <c r="B247" s="16" t="s">
        <v>54</v>
      </c>
      <c r="C247" s="58">
        <v>450127410</v>
      </c>
      <c r="D247" s="16"/>
      <c r="E247" s="74" t="s">
        <v>609</v>
      </c>
      <c r="F247" s="113">
        <f>F248</f>
        <v>2127.6</v>
      </c>
      <c r="G247" s="113">
        <f t="shared" ref="G247:H247" si="74">G248</f>
        <v>0</v>
      </c>
      <c r="H247" s="113">
        <f t="shared" si="74"/>
        <v>0</v>
      </c>
    </row>
    <row r="248" spans="1:8" ht="63.75" x14ac:dyDescent="0.2">
      <c r="A248" s="16" t="s">
        <v>60</v>
      </c>
      <c r="B248" s="16" t="s">
        <v>54</v>
      </c>
      <c r="C248" s="58">
        <v>450127410</v>
      </c>
      <c r="D248" s="65" t="s">
        <v>10</v>
      </c>
      <c r="E248" s="75" t="s">
        <v>137</v>
      </c>
      <c r="F248" s="113">
        <v>2127.6</v>
      </c>
      <c r="G248" s="113">
        <v>0</v>
      </c>
      <c r="H248" s="113">
        <v>0</v>
      </c>
    </row>
    <row r="249" spans="1:8" ht="130.5" customHeight="1" x14ac:dyDescent="0.2">
      <c r="A249" s="5" t="s">
        <v>60</v>
      </c>
      <c r="B249" s="5" t="s">
        <v>54</v>
      </c>
      <c r="C249" s="64" t="s">
        <v>43</v>
      </c>
      <c r="D249" s="16"/>
      <c r="E249" s="140" t="s">
        <v>209</v>
      </c>
      <c r="F249" s="86">
        <f>F250+F252+F254+F256+F258+F260+F262+F264+F266+F268</f>
        <v>96330.3</v>
      </c>
      <c r="G249" s="86">
        <f t="shared" ref="G249:H249" si="75">G250+G252+G254+G256+G258+G260+G262+G264+G266+G268</f>
        <v>39514.5</v>
      </c>
      <c r="H249" s="86">
        <f t="shared" si="75"/>
        <v>31795.3</v>
      </c>
    </row>
    <row r="250" spans="1:8" ht="189" customHeight="1" x14ac:dyDescent="0.25">
      <c r="A250" s="16" t="s">
        <v>60</v>
      </c>
      <c r="B250" s="16" t="s">
        <v>54</v>
      </c>
      <c r="C250" s="19" t="s">
        <v>604</v>
      </c>
      <c r="D250" s="3"/>
      <c r="E250" s="75" t="s">
        <v>605</v>
      </c>
      <c r="F250" s="82">
        <f t="shared" ref="F250:H250" si="76">F251</f>
        <v>23777.200000000001</v>
      </c>
      <c r="G250" s="82">
        <f t="shared" si="76"/>
        <v>15000</v>
      </c>
      <c r="H250" s="82">
        <f t="shared" si="76"/>
        <v>15000</v>
      </c>
    </row>
    <row r="251" spans="1:8" ht="38.25" x14ac:dyDescent="0.2">
      <c r="A251" s="16" t="s">
        <v>60</v>
      </c>
      <c r="B251" s="16" t="s">
        <v>54</v>
      </c>
      <c r="C251" s="19" t="s">
        <v>604</v>
      </c>
      <c r="D251" s="65" t="s">
        <v>119</v>
      </c>
      <c r="E251" s="75" t="s">
        <v>120</v>
      </c>
      <c r="F251" s="82">
        <f>11535.1+19021.8-6779.7</f>
        <v>23777.200000000001</v>
      </c>
      <c r="G251" s="82">
        <v>15000</v>
      </c>
      <c r="H251" s="82">
        <v>15000</v>
      </c>
    </row>
    <row r="252" spans="1:8" ht="38.25" x14ac:dyDescent="0.2">
      <c r="A252" s="16" t="s">
        <v>60</v>
      </c>
      <c r="B252" s="16" t="s">
        <v>54</v>
      </c>
      <c r="C252" s="19" t="s">
        <v>350</v>
      </c>
      <c r="D252" s="16"/>
      <c r="E252" s="75" t="s">
        <v>349</v>
      </c>
      <c r="F252" s="82">
        <f>F253</f>
        <v>2035.8999999999999</v>
      </c>
      <c r="G252" s="82">
        <f t="shared" ref="G252:H252" si="77">G253</f>
        <v>2000</v>
      </c>
      <c r="H252" s="82">
        <f t="shared" si="77"/>
        <v>2000</v>
      </c>
    </row>
    <row r="253" spans="1:8" ht="38.25" x14ac:dyDescent="0.2">
      <c r="A253" s="16" t="s">
        <v>60</v>
      </c>
      <c r="B253" s="16" t="s">
        <v>54</v>
      </c>
      <c r="C253" s="19" t="s">
        <v>350</v>
      </c>
      <c r="D253" s="65" t="s">
        <v>119</v>
      </c>
      <c r="E253" s="75" t="s">
        <v>120</v>
      </c>
      <c r="F253" s="82">
        <f>3115-1304.7+225.6</f>
        <v>2035.8999999999999</v>
      </c>
      <c r="G253" s="82">
        <v>2000</v>
      </c>
      <c r="H253" s="82">
        <v>2000</v>
      </c>
    </row>
    <row r="254" spans="1:8" ht="25.5" x14ac:dyDescent="0.2">
      <c r="A254" s="16" t="s">
        <v>60</v>
      </c>
      <c r="B254" s="16" t="s">
        <v>54</v>
      </c>
      <c r="C254" s="19" t="s">
        <v>352</v>
      </c>
      <c r="D254" s="16"/>
      <c r="E254" s="75" t="s">
        <v>351</v>
      </c>
      <c r="F254" s="82">
        <f>F255</f>
        <v>622.6</v>
      </c>
      <c r="G254" s="82">
        <f t="shared" ref="G254:H254" si="78">G255</f>
        <v>694.5</v>
      </c>
      <c r="H254" s="82">
        <f t="shared" si="78"/>
        <v>764</v>
      </c>
    </row>
    <row r="255" spans="1:8" ht="38.25" x14ac:dyDescent="0.2">
      <c r="A255" s="16" t="s">
        <v>60</v>
      </c>
      <c r="B255" s="16" t="s">
        <v>54</v>
      </c>
      <c r="C255" s="19" t="s">
        <v>352</v>
      </c>
      <c r="D255" s="65" t="s">
        <v>119</v>
      </c>
      <c r="E255" s="75" t="s">
        <v>120</v>
      </c>
      <c r="F255" s="82">
        <f>605.6+17</f>
        <v>622.6</v>
      </c>
      <c r="G255" s="82">
        <v>694.5</v>
      </c>
      <c r="H255" s="82">
        <v>764</v>
      </c>
    </row>
    <row r="256" spans="1:8" ht="25.5" x14ac:dyDescent="0.2">
      <c r="A256" s="16" t="s">
        <v>60</v>
      </c>
      <c r="B256" s="16" t="s">
        <v>54</v>
      </c>
      <c r="C256" s="19" t="s">
        <v>353</v>
      </c>
      <c r="D256" s="65"/>
      <c r="E256" s="141" t="s">
        <v>147</v>
      </c>
      <c r="F256" s="82">
        <f>F257</f>
        <v>20</v>
      </c>
      <c r="G256" s="82">
        <f t="shared" ref="G256:H256" si="79">G257</f>
        <v>25</v>
      </c>
      <c r="H256" s="82">
        <f t="shared" si="79"/>
        <v>30</v>
      </c>
    </row>
    <row r="257" spans="1:8" ht="38.25" x14ac:dyDescent="0.2">
      <c r="A257" s="16" t="s">
        <v>60</v>
      </c>
      <c r="B257" s="16" t="s">
        <v>54</v>
      </c>
      <c r="C257" s="19" t="s">
        <v>353</v>
      </c>
      <c r="D257" s="65" t="s">
        <v>119</v>
      </c>
      <c r="E257" s="75" t="s">
        <v>120</v>
      </c>
      <c r="F257" s="82">
        <f>20-17+17</f>
        <v>20</v>
      </c>
      <c r="G257" s="82">
        <v>25</v>
      </c>
      <c r="H257" s="82">
        <v>30</v>
      </c>
    </row>
    <row r="258" spans="1:8" ht="51" x14ac:dyDescent="0.2">
      <c r="A258" s="16" t="s">
        <v>60</v>
      </c>
      <c r="B258" s="16" t="s">
        <v>54</v>
      </c>
      <c r="C258" s="19" t="s">
        <v>355</v>
      </c>
      <c r="D258" s="16"/>
      <c r="E258" s="74" t="s">
        <v>354</v>
      </c>
      <c r="F258" s="82">
        <f>F259</f>
        <v>302</v>
      </c>
      <c r="G258" s="82">
        <f>G259</f>
        <v>350</v>
      </c>
      <c r="H258" s="82">
        <f>H259</f>
        <v>400</v>
      </c>
    </row>
    <row r="259" spans="1:8" ht="38.25" x14ac:dyDescent="0.2">
      <c r="A259" s="16" t="s">
        <v>60</v>
      </c>
      <c r="B259" s="16" t="s">
        <v>54</v>
      </c>
      <c r="C259" s="19" t="s">
        <v>355</v>
      </c>
      <c r="D259" s="65" t="s">
        <v>119</v>
      </c>
      <c r="E259" s="75" t="s">
        <v>120</v>
      </c>
      <c r="F259" s="82">
        <v>302</v>
      </c>
      <c r="G259" s="82">
        <v>350</v>
      </c>
      <c r="H259" s="82">
        <v>400</v>
      </c>
    </row>
    <row r="260" spans="1:8" ht="38.25" x14ac:dyDescent="0.2">
      <c r="A260" s="16" t="s">
        <v>60</v>
      </c>
      <c r="B260" s="16" t="s">
        <v>54</v>
      </c>
      <c r="C260" s="19" t="s">
        <v>357</v>
      </c>
      <c r="D260" s="65"/>
      <c r="E260" s="75" t="s">
        <v>356</v>
      </c>
      <c r="F260" s="82">
        <f>SUM(F261:F261)</f>
        <v>7433.1</v>
      </c>
      <c r="G260" s="82">
        <f>SUM(G261:G261)</f>
        <v>5000</v>
      </c>
      <c r="H260" s="82">
        <f>SUM(H261:H261)</f>
        <v>5000</v>
      </c>
    </row>
    <row r="261" spans="1:8" ht="38.25" x14ac:dyDescent="0.2">
      <c r="A261" s="16" t="s">
        <v>60</v>
      </c>
      <c r="B261" s="16" t="s">
        <v>54</v>
      </c>
      <c r="C261" s="19" t="s">
        <v>357</v>
      </c>
      <c r="D261" s="65" t="s">
        <v>119</v>
      </c>
      <c r="E261" s="75" t="s">
        <v>120</v>
      </c>
      <c r="F261" s="82">
        <f>2974.5+2500+2000-41.4</f>
        <v>7433.1</v>
      </c>
      <c r="G261" s="82">
        <v>5000</v>
      </c>
      <c r="H261" s="82">
        <v>5000</v>
      </c>
    </row>
    <row r="262" spans="1:8" ht="51" x14ac:dyDescent="0.2">
      <c r="A262" s="16" t="s">
        <v>60</v>
      </c>
      <c r="B262" s="16" t="s">
        <v>54</v>
      </c>
      <c r="C262" s="19" t="s">
        <v>358</v>
      </c>
      <c r="D262" s="16"/>
      <c r="E262" s="75" t="s">
        <v>404</v>
      </c>
      <c r="F262" s="82">
        <f t="shared" ref="F262" si="80">F263</f>
        <v>345</v>
      </c>
      <c r="G262" s="82">
        <f t="shared" ref="G262:H262" si="81">G263</f>
        <v>0</v>
      </c>
      <c r="H262" s="82">
        <f t="shared" si="81"/>
        <v>0</v>
      </c>
    </row>
    <row r="263" spans="1:8" ht="38.25" x14ac:dyDescent="0.2">
      <c r="A263" s="16" t="s">
        <v>60</v>
      </c>
      <c r="B263" s="16" t="s">
        <v>54</v>
      </c>
      <c r="C263" s="19" t="s">
        <v>358</v>
      </c>
      <c r="D263" s="65" t="s">
        <v>119</v>
      </c>
      <c r="E263" s="75" t="s">
        <v>120</v>
      </c>
      <c r="F263" s="82">
        <f>200+145</f>
        <v>345</v>
      </c>
      <c r="G263" s="82">
        <v>0</v>
      </c>
      <c r="H263" s="82">
        <v>0</v>
      </c>
    </row>
    <row r="264" spans="1:8" ht="25.5" x14ac:dyDescent="0.2">
      <c r="A264" s="16" t="s">
        <v>60</v>
      </c>
      <c r="B264" s="16" t="s">
        <v>54</v>
      </c>
      <c r="C264" s="19" t="s">
        <v>359</v>
      </c>
      <c r="D264" s="65"/>
      <c r="E264" s="75" t="s">
        <v>155</v>
      </c>
      <c r="F264" s="82">
        <f>F265</f>
        <v>8697.1</v>
      </c>
      <c r="G264" s="82">
        <f t="shared" ref="G264:H264" si="82">G265</f>
        <v>16445</v>
      </c>
      <c r="H264" s="82">
        <f t="shared" si="82"/>
        <v>8601.2999999999993</v>
      </c>
    </row>
    <row r="265" spans="1:8" x14ac:dyDescent="0.2">
      <c r="A265" s="16" t="s">
        <v>60</v>
      </c>
      <c r="B265" s="16" t="s">
        <v>54</v>
      </c>
      <c r="C265" s="19" t="s">
        <v>359</v>
      </c>
      <c r="D265" s="65" t="s">
        <v>124</v>
      </c>
      <c r="E265" s="76" t="s">
        <v>128</v>
      </c>
      <c r="F265" s="82">
        <f>9067.7-370.6</f>
        <v>8697.1</v>
      </c>
      <c r="G265" s="82">
        <v>16445</v>
      </c>
      <c r="H265" s="82">
        <v>8601.2999999999993</v>
      </c>
    </row>
    <row r="266" spans="1:8" ht="38.25" x14ac:dyDescent="0.2">
      <c r="A266" s="16" t="s">
        <v>60</v>
      </c>
      <c r="B266" s="16" t="s">
        <v>54</v>
      </c>
      <c r="C266" s="19" t="s">
        <v>559</v>
      </c>
      <c r="D266" s="65"/>
      <c r="E266" s="75" t="s">
        <v>560</v>
      </c>
      <c r="F266" s="82">
        <f>F267</f>
        <v>3097.4</v>
      </c>
      <c r="G266" s="82">
        <f t="shared" ref="G266:H266" si="83">G267</f>
        <v>0</v>
      </c>
      <c r="H266" s="82">
        <f t="shared" si="83"/>
        <v>0</v>
      </c>
    </row>
    <row r="267" spans="1:8" ht="38.25" x14ac:dyDescent="0.2">
      <c r="A267" s="16" t="s">
        <v>60</v>
      </c>
      <c r="B267" s="16" t="s">
        <v>54</v>
      </c>
      <c r="C267" s="19" t="s">
        <v>559</v>
      </c>
      <c r="D267" s="65" t="s">
        <v>119</v>
      </c>
      <c r="E267" s="75" t="s">
        <v>120</v>
      </c>
      <c r="F267" s="82">
        <v>3097.4</v>
      </c>
      <c r="G267" s="82">
        <v>0</v>
      </c>
      <c r="H267" s="82">
        <v>0</v>
      </c>
    </row>
    <row r="268" spans="1:8" ht="25.5" x14ac:dyDescent="0.2">
      <c r="A268" s="16" t="s">
        <v>60</v>
      </c>
      <c r="B268" s="16" t="s">
        <v>54</v>
      </c>
      <c r="C268" s="19" t="s">
        <v>601</v>
      </c>
      <c r="D268" s="65"/>
      <c r="E268" s="75" t="s">
        <v>600</v>
      </c>
      <c r="F268" s="82">
        <f>F269</f>
        <v>50000</v>
      </c>
      <c r="G268" s="82">
        <f t="shared" ref="G268:H268" si="84">G269</f>
        <v>0</v>
      </c>
      <c r="H268" s="82">
        <f t="shared" si="84"/>
        <v>0</v>
      </c>
    </row>
    <row r="269" spans="1:8" x14ac:dyDescent="0.2">
      <c r="A269" s="16" t="s">
        <v>60</v>
      </c>
      <c r="B269" s="16" t="s">
        <v>54</v>
      </c>
      <c r="C269" s="19" t="s">
        <v>601</v>
      </c>
      <c r="D269" s="65" t="s">
        <v>124</v>
      </c>
      <c r="E269" s="76" t="s">
        <v>128</v>
      </c>
      <c r="F269" s="82">
        <v>50000</v>
      </c>
      <c r="G269" s="82">
        <v>0</v>
      </c>
      <c r="H269" s="82">
        <v>0</v>
      </c>
    </row>
    <row r="270" spans="1:8" ht="38.25" x14ac:dyDescent="0.2">
      <c r="A270" s="16" t="s">
        <v>60</v>
      </c>
      <c r="B270" s="16" t="s">
        <v>54</v>
      </c>
      <c r="C270" s="65" t="s">
        <v>22</v>
      </c>
      <c r="D270" s="65"/>
      <c r="E270" s="76" t="s">
        <v>28</v>
      </c>
      <c r="F270" s="182">
        <f>F271</f>
        <v>50</v>
      </c>
      <c r="G270" s="182">
        <f t="shared" ref="G270:H270" si="85">G271</f>
        <v>0</v>
      </c>
      <c r="H270" s="182">
        <f t="shared" si="85"/>
        <v>0</v>
      </c>
    </row>
    <row r="271" spans="1:8" ht="51" x14ac:dyDescent="0.2">
      <c r="A271" s="16" t="s">
        <v>60</v>
      </c>
      <c r="B271" s="16" t="s">
        <v>54</v>
      </c>
      <c r="C271" s="65" t="s">
        <v>598</v>
      </c>
      <c r="D271" s="16"/>
      <c r="E271" s="106" t="s">
        <v>607</v>
      </c>
      <c r="F271" s="182">
        <f>SUM(F272:F272)</f>
        <v>50</v>
      </c>
      <c r="G271" s="182">
        <f>SUM(G272:G272)</f>
        <v>0</v>
      </c>
      <c r="H271" s="182">
        <f>SUM(H272:H272)</f>
        <v>0</v>
      </c>
    </row>
    <row r="272" spans="1:8" ht="38.25" x14ac:dyDescent="0.2">
      <c r="A272" s="16" t="s">
        <v>60</v>
      </c>
      <c r="B272" s="16" t="s">
        <v>54</v>
      </c>
      <c r="C272" s="65" t="s">
        <v>598</v>
      </c>
      <c r="D272" s="65" t="s">
        <v>119</v>
      </c>
      <c r="E272" s="75" t="s">
        <v>120</v>
      </c>
      <c r="F272" s="37">
        <v>50</v>
      </c>
      <c r="G272" s="37">
        <v>0</v>
      </c>
      <c r="H272" s="37">
        <v>0</v>
      </c>
    </row>
    <row r="273" spans="1:8" ht="14.25" x14ac:dyDescent="0.2">
      <c r="A273" s="28" t="s">
        <v>60</v>
      </c>
      <c r="B273" s="28" t="s">
        <v>58</v>
      </c>
      <c r="C273" s="28"/>
      <c r="D273" s="28"/>
      <c r="E273" s="25" t="s">
        <v>35</v>
      </c>
      <c r="F273" s="160">
        <f>F274+F305+F316+F327</f>
        <v>117737.2</v>
      </c>
      <c r="G273" s="160">
        <f t="shared" ref="G273:H273" si="86">G274+G305+G316+G327</f>
        <v>78814.400000000009</v>
      </c>
      <c r="H273" s="160">
        <f t="shared" si="86"/>
        <v>79525.5</v>
      </c>
    </row>
    <row r="274" spans="1:8" ht="117" customHeight="1" x14ac:dyDescent="0.2">
      <c r="A274" s="5" t="s">
        <v>60</v>
      </c>
      <c r="B274" s="5" t="s">
        <v>58</v>
      </c>
      <c r="C274" s="57"/>
      <c r="D274" s="16"/>
      <c r="E274" s="140" t="s">
        <v>213</v>
      </c>
      <c r="F274" s="86">
        <f>F275+F277+F279+F281+F283+F285+F287+F289+F291+F293+F295+F297+F299+F301+F303</f>
        <v>78002.3</v>
      </c>
      <c r="G274" s="86">
        <f t="shared" ref="G274:H274" si="87">G275+G277+G279+G281+G283+G285+G287+G289+G291+G293+G295+G297+G299+G301+G303</f>
        <v>78814.400000000009</v>
      </c>
      <c r="H274" s="86">
        <f t="shared" si="87"/>
        <v>79525.5</v>
      </c>
    </row>
    <row r="275" spans="1:8" ht="45.75" customHeight="1" x14ac:dyDescent="0.2">
      <c r="A275" s="65" t="s">
        <v>60</v>
      </c>
      <c r="B275" s="65" t="s">
        <v>58</v>
      </c>
      <c r="C275" s="19" t="s">
        <v>596</v>
      </c>
      <c r="D275" s="16"/>
      <c r="E275" s="120" t="s">
        <v>595</v>
      </c>
      <c r="F275" s="113">
        <f>F276</f>
        <v>998</v>
      </c>
      <c r="G275" s="113">
        <f t="shared" ref="G275:H275" si="88">G276</f>
        <v>0</v>
      </c>
      <c r="H275" s="113">
        <f t="shared" si="88"/>
        <v>0</v>
      </c>
    </row>
    <row r="276" spans="1:8" ht="44.25" customHeight="1" x14ac:dyDescent="0.2">
      <c r="A276" s="65" t="s">
        <v>60</v>
      </c>
      <c r="B276" s="65" t="s">
        <v>58</v>
      </c>
      <c r="C276" s="19" t="s">
        <v>596</v>
      </c>
      <c r="D276" s="65" t="s">
        <v>119</v>
      </c>
      <c r="E276" s="75" t="s">
        <v>120</v>
      </c>
      <c r="F276" s="113">
        <f>798.4+199.6</f>
        <v>998</v>
      </c>
      <c r="G276" s="113">
        <v>0</v>
      </c>
      <c r="H276" s="113">
        <v>0</v>
      </c>
    </row>
    <row r="277" spans="1:8" ht="38.25" x14ac:dyDescent="0.2">
      <c r="A277" s="65" t="s">
        <v>60</v>
      </c>
      <c r="B277" s="65" t="s">
        <v>58</v>
      </c>
      <c r="C277" s="99" t="s">
        <v>439</v>
      </c>
      <c r="D277" s="16"/>
      <c r="E277" s="75" t="s">
        <v>333</v>
      </c>
      <c r="F277" s="82">
        <f t="shared" ref="F277:H277" si="89">F278</f>
        <v>4977.9999999999991</v>
      </c>
      <c r="G277" s="82">
        <f t="shared" si="89"/>
        <v>4795.3999999999996</v>
      </c>
      <c r="H277" s="82">
        <f t="shared" si="89"/>
        <v>4795.3999999999996</v>
      </c>
    </row>
    <row r="278" spans="1:8" ht="38.25" x14ac:dyDescent="0.2">
      <c r="A278" s="65" t="s">
        <v>60</v>
      </c>
      <c r="B278" s="65" t="s">
        <v>58</v>
      </c>
      <c r="C278" s="99" t="s">
        <v>439</v>
      </c>
      <c r="D278" s="65" t="s">
        <v>119</v>
      </c>
      <c r="E278" s="75" t="s">
        <v>120</v>
      </c>
      <c r="F278" s="82">
        <f>4795.4+80+152.2-199.6+150</f>
        <v>4977.9999999999991</v>
      </c>
      <c r="G278" s="82">
        <v>4795.3999999999996</v>
      </c>
      <c r="H278" s="82">
        <v>4795.3999999999996</v>
      </c>
    </row>
    <row r="279" spans="1:8" ht="38.25" x14ac:dyDescent="0.2">
      <c r="A279" s="16" t="s">
        <v>60</v>
      </c>
      <c r="B279" s="65" t="s">
        <v>58</v>
      </c>
      <c r="C279" s="58">
        <v>1050123810</v>
      </c>
      <c r="D279" s="19"/>
      <c r="E279" s="75" t="s">
        <v>334</v>
      </c>
      <c r="F279" s="82">
        <f>F280</f>
        <v>1347.9</v>
      </c>
      <c r="G279" s="82">
        <f>G280</f>
        <v>1147.9000000000001</v>
      </c>
      <c r="H279" s="82">
        <f>H280</f>
        <v>1147.9000000000001</v>
      </c>
    </row>
    <row r="280" spans="1:8" ht="38.25" x14ac:dyDescent="0.2">
      <c r="A280" s="65" t="s">
        <v>60</v>
      </c>
      <c r="B280" s="65" t="s">
        <v>58</v>
      </c>
      <c r="C280" s="58">
        <v>1050123810</v>
      </c>
      <c r="D280" s="65" t="s">
        <v>119</v>
      </c>
      <c r="E280" s="75" t="s">
        <v>120</v>
      </c>
      <c r="F280" s="113">
        <f>1147.9+200</f>
        <v>1347.9</v>
      </c>
      <c r="G280" s="113">
        <v>1147.9000000000001</v>
      </c>
      <c r="H280" s="113">
        <v>1147.9000000000001</v>
      </c>
    </row>
    <row r="281" spans="1:8" ht="63.75" x14ac:dyDescent="0.2">
      <c r="A281" s="16" t="s">
        <v>60</v>
      </c>
      <c r="B281" s="65" t="s">
        <v>58</v>
      </c>
      <c r="C281" s="58">
        <v>1050121100</v>
      </c>
      <c r="D281" s="19"/>
      <c r="E281" s="75" t="s">
        <v>438</v>
      </c>
      <c r="F281" s="82">
        <f>F282</f>
        <v>41180.800000000003</v>
      </c>
      <c r="G281" s="82">
        <f t="shared" ref="G281:H281" si="90">G282</f>
        <v>44115.9</v>
      </c>
      <c r="H281" s="82">
        <f t="shared" si="90"/>
        <v>44115.9</v>
      </c>
    </row>
    <row r="282" spans="1:8" ht="38.25" x14ac:dyDescent="0.2">
      <c r="A282" s="65" t="s">
        <v>60</v>
      </c>
      <c r="B282" s="65" t="s">
        <v>58</v>
      </c>
      <c r="C282" s="58">
        <v>1050121100</v>
      </c>
      <c r="D282" s="65" t="s">
        <v>119</v>
      </c>
      <c r="E282" s="75" t="s">
        <v>120</v>
      </c>
      <c r="F282" s="82">
        <v>41180.800000000003</v>
      </c>
      <c r="G282" s="82">
        <v>44115.9</v>
      </c>
      <c r="H282" s="82">
        <v>44115.9</v>
      </c>
    </row>
    <row r="283" spans="1:8" ht="38.25" x14ac:dyDescent="0.2">
      <c r="A283" s="16" t="s">
        <v>60</v>
      </c>
      <c r="B283" s="65" t="s">
        <v>58</v>
      </c>
      <c r="C283" s="58">
        <v>1050121800</v>
      </c>
      <c r="D283" s="16"/>
      <c r="E283" s="75" t="s">
        <v>194</v>
      </c>
      <c r="F283" s="82">
        <f>F284</f>
        <v>1920</v>
      </c>
      <c r="G283" s="82">
        <f t="shared" ref="G283:H283" si="91">G284</f>
        <v>120</v>
      </c>
      <c r="H283" s="82">
        <f t="shared" si="91"/>
        <v>120</v>
      </c>
    </row>
    <row r="284" spans="1:8" ht="38.25" x14ac:dyDescent="0.2">
      <c r="A284" s="65" t="s">
        <v>60</v>
      </c>
      <c r="B284" s="65" t="s">
        <v>58</v>
      </c>
      <c r="C284" s="58">
        <v>1050121800</v>
      </c>
      <c r="D284" s="65" t="s">
        <v>119</v>
      </c>
      <c r="E284" s="75" t="s">
        <v>120</v>
      </c>
      <c r="F284" s="82">
        <v>1920</v>
      </c>
      <c r="G284" s="82">
        <v>120</v>
      </c>
      <c r="H284" s="82">
        <v>120</v>
      </c>
    </row>
    <row r="285" spans="1:8" ht="38.25" x14ac:dyDescent="0.2">
      <c r="A285" s="65" t="s">
        <v>60</v>
      </c>
      <c r="B285" s="65" t="s">
        <v>58</v>
      </c>
      <c r="C285" s="58">
        <v>1050123600</v>
      </c>
      <c r="D285" s="16"/>
      <c r="E285" s="75" t="s">
        <v>335</v>
      </c>
      <c r="F285" s="82">
        <f>F286</f>
        <v>2460.9</v>
      </c>
      <c r="G285" s="82">
        <f>G286</f>
        <v>2050</v>
      </c>
      <c r="H285" s="82">
        <f>H286</f>
        <v>2050</v>
      </c>
    </row>
    <row r="286" spans="1:8" ht="38.25" x14ac:dyDescent="0.2">
      <c r="A286" s="16" t="s">
        <v>60</v>
      </c>
      <c r="B286" s="65" t="s">
        <v>58</v>
      </c>
      <c r="C286" s="58">
        <v>1050123600</v>
      </c>
      <c r="D286" s="65" t="s">
        <v>119</v>
      </c>
      <c r="E286" s="75" t="s">
        <v>120</v>
      </c>
      <c r="F286" s="113">
        <f>2050+560.9-150</f>
        <v>2460.9</v>
      </c>
      <c r="G286" s="113">
        <v>2050</v>
      </c>
      <c r="H286" s="113">
        <v>2050</v>
      </c>
    </row>
    <row r="287" spans="1:8" ht="31.5" customHeight="1" x14ac:dyDescent="0.2">
      <c r="A287" s="16" t="s">
        <v>60</v>
      </c>
      <c r="B287" s="65" t="s">
        <v>58</v>
      </c>
      <c r="C287" s="58">
        <v>1050123820</v>
      </c>
      <c r="D287" s="19"/>
      <c r="E287" s="75" t="s">
        <v>336</v>
      </c>
      <c r="F287" s="82">
        <f>SUM(F288:F288)</f>
        <v>680.69999999999993</v>
      </c>
      <c r="G287" s="82">
        <f>SUM(G288:G288)</f>
        <v>577.9</v>
      </c>
      <c r="H287" s="82">
        <f>SUM(H288:H288)</f>
        <v>577.9</v>
      </c>
    </row>
    <row r="288" spans="1:8" x14ac:dyDescent="0.2">
      <c r="A288" s="65" t="s">
        <v>60</v>
      </c>
      <c r="B288" s="65" t="s">
        <v>58</v>
      </c>
      <c r="C288" s="58">
        <v>1050123820</v>
      </c>
      <c r="D288" s="19" t="s">
        <v>122</v>
      </c>
      <c r="E288" s="75" t="s">
        <v>121</v>
      </c>
      <c r="F288" s="82">
        <f>577.9+102.8</f>
        <v>680.69999999999993</v>
      </c>
      <c r="G288" s="82">
        <v>577.9</v>
      </c>
      <c r="H288" s="82">
        <v>577.9</v>
      </c>
    </row>
    <row r="289" spans="1:8" ht="25.5" x14ac:dyDescent="0.2">
      <c r="A289" s="16" t="s">
        <v>60</v>
      </c>
      <c r="B289" s="65" t="s">
        <v>58</v>
      </c>
      <c r="C289" s="58">
        <v>1050123830</v>
      </c>
      <c r="D289" s="16"/>
      <c r="E289" s="75" t="s">
        <v>337</v>
      </c>
      <c r="F289" s="82">
        <f>F290</f>
        <v>300</v>
      </c>
      <c r="G289" s="82">
        <f t="shared" ref="G289:H289" si="92">G290</f>
        <v>300</v>
      </c>
      <c r="H289" s="82">
        <f t="shared" si="92"/>
        <v>300</v>
      </c>
    </row>
    <row r="290" spans="1:8" x14ac:dyDescent="0.2">
      <c r="A290" s="16" t="s">
        <v>60</v>
      </c>
      <c r="B290" s="65" t="s">
        <v>58</v>
      </c>
      <c r="C290" s="58">
        <v>1050123830</v>
      </c>
      <c r="D290" s="19" t="s">
        <v>122</v>
      </c>
      <c r="E290" s="75" t="s">
        <v>121</v>
      </c>
      <c r="F290" s="82">
        <v>300</v>
      </c>
      <c r="G290" s="82">
        <v>300</v>
      </c>
      <c r="H290" s="82">
        <v>300</v>
      </c>
    </row>
    <row r="291" spans="1:8" ht="25.5" x14ac:dyDescent="0.2">
      <c r="A291" s="65" t="s">
        <v>60</v>
      </c>
      <c r="B291" s="65" t="s">
        <v>58</v>
      </c>
      <c r="C291" s="58">
        <v>1050123840</v>
      </c>
      <c r="D291" s="19"/>
      <c r="E291" s="75" t="s">
        <v>338</v>
      </c>
      <c r="F291" s="82">
        <f>F292</f>
        <v>935.19999999999993</v>
      </c>
      <c r="G291" s="82">
        <f t="shared" ref="G291:H291" si="93">G292</f>
        <v>944.3</v>
      </c>
      <c r="H291" s="82">
        <f t="shared" si="93"/>
        <v>944.3</v>
      </c>
    </row>
    <row r="292" spans="1:8" ht="38.25" x14ac:dyDescent="0.2">
      <c r="A292" s="16" t="s">
        <v>60</v>
      </c>
      <c r="B292" s="65" t="s">
        <v>58</v>
      </c>
      <c r="C292" s="58">
        <v>1050123840</v>
      </c>
      <c r="D292" s="65" t="s">
        <v>119</v>
      </c>
      <c r="E292" s="75" t="s">
        <v>120</v>
      </c>
      <c r="F292" s="82">
        <f>944.3-9.1</f>
        <v>935.19999999999993</v>
      </c>
      <c r="G292" s="82">
        <v>944.3</v>
      </c>
      <c r="H292" s="82">
        <v>944.3</v>
      </c>
    </row>
    <row r="293" spans="1:8" x14ac:dyDescent="0.2">
      <c r="A293" s="65" t="s">
        <v>60</v>
      </c>
      <c r="B293" s="65" t="s">
        <v>58</v>
      </c>
      <c r="C293" s="58">
        <v>1050123850</v>
      </c>
      <c r="D293" s="16"/>
      <c r="E293" s="75" t="s">
        <v>339</v>
      </c>
      <c r="F293" s="82">
        <f>F294</f>
        <v>2721.5</v>
      </c>
      <c r="G293" s="82">
        <f>G294</f>
        <v>3289.9</v>
      </c>
      <c r="H293" s="82">
        <f>H294</f>
        <v>3289.9</v>
      </c>
    </row>
    <row r="294" spans="1:8" ht="38.25" x14ac:dyDescent="0.2">
      <c r="A294" s="16" t="s">
        <v>60</v>
      </c>
      <c r="B294" s="65" t="s">
        <v>58</v>
      </c>
      <c r="C294" s="58">
        <v>1050123850</v>
      </c>
      <c r="D294" s="65" t="s">
        <v>119</v>
      </c>
      <c r="E294" s="75" t="s">
        <v>120</v>
      </c>
      <c r="F294" s="113">
        <f>3290.8-560.9-8.4</f>
        <v>2721.5</v>
      </c>
      <c r="G294" s="113">
        <v>3289.9</v>
      </c>
      <c r="H294" s="113">
        <v>3289.9</v>
      </c>
    </row>
    <row r="295" spans="1:8" ht="25.5" x14ac:dyDescent="0.2">
      <c r="A295" s="65" t="s">
        <v>60</v>
      </c>
      <c r="B295" s="65" t="s">
        <v>58</v>
      </c>
      <c r="C295" s="62">
        <v>1050123860</v>
      </c>
      <c r="D295" s="16"/>
      <c r="E295" s="75" t="s">
        <v>21</v>
      </c>
      <c r="F295" s="82">
        <f t="shared" ref="F295:H295" si="94">F296</f>
        <v>3044.8</v>
      </c>
      <c r="G295" s="82">
        <f t="shared" si="94"/>
        <v>2844.8</v>
      </c>
      <c r="H295" s="82">
        <f t="shared" si="94"/>
        <v>2844.8</v>
      </c>
    </row>
    <row r="296" spans="1:8" ht="38.25" x14ac:dyDescent="0.2">
      <c r="A296" s="65" t="s">
        <v>60</v>
      </c>
      <c r="B296" s="65" t="s">
        <v>58</v>
      </c>
      <c r="C296" s="62">
        <v>1050123860</v>
      </c>
      <c r="D296" s="65" t="s">
        <v>119</v>
      </c>
      <c r="E296" s="75" t="s">
        <v>120</v>
      </c>
      <c r="F296" s="82">
        <f>2844.8+200</f>
        <v>3044.8</v>
      </c>
      <c r="G296" s="82">
        <v>2844.8</v>
      </c>
      <c r="H296" s="82">
        <v>2844.8</v>
      </c>
    </row>
    <row r="297" spans="1:8" ht="38.25" x14ac:dyDescent="0.2">
      <c r="A297" s="65" t="s">
        <v>60</v>
      </c>
      <c r="B297" s="65" t="s">
        <v>58</v>
      </c>
      <c r="C297" s="19" t="s">
        <v>440</v>
      </c>
      <c r="D297" s="16"/>
      <c r="E297" s="75" t="s">
        <v>340</v>
      </c>
      <c r="F297" s="82">
        <f>F298</f>
        <v>3347.5</v>
      </c>
      <c r="G297" s="82">
        <f>G298</f>
        <v>3100</v>
      </c>
      <c r="H297" s="82">
        <f>H298</f>
        <v>3100</v>
      </c>
    </row>
    <row r="298" spans="1:8" s="35" customFormat="1" ht="38.25" x14ac:dyDescent="0.2">
      <c r="A298" s="65" t="s">
        <v>60</v>
      </c>
      <c r="B298" s="65" t="s">
        <v>58</v>
      </c>
      <c r="C298" s="19" t="s">
        <v>440</v>
      </c>
      <c r="D298" s="65" t="s">
        <v>119</v>
      </c>
      <c r="E298" s="75" t="s">
        <v>120</v>
      </c>
      <c r="F298" s="82">
        <f>3100+247.5</f>
        <v>3347.5</v>
      </c>
      <c r="G298" s="82">
        <v>3100</v>
      </c>
      <c r="H298" s="82">
        <v>3100</v>
      </c>
    </row>
    <row r="299" spans="1:8" s="35" customFormat="1" ht="15" customHeight="1" x14ac:dyDescent="0.2">
      <c r="A299" s="65" t="s">
        <v>60</v>
      </c>
      <c r="B299" s="65" t="s">
        <v>58</v>
      </c>
      <c r="C299" s="19" t="s">
        <v>441</v>
      </c>
      <c r="D299" s="16"/>
      <c r="E299" s="75" t="s">
        <v>342</v>
      </c>
      <c r="F299" s="82">
        <f>F300</f>
        <v>236</v>
      </c>
      <c r="G299" s="82">
        <f>G300</f>
        <v>236</v>
      </c>
      <c r="H299" s="82">
        <f>H300</f>
        <v>236</v>
      </c>
    </row>
    <row r="300" spans="1:8" s="35" customFormat="1" ht="38.25" x14ac:dyDescent="0.2">
      <c r="A300" s="65" t="s">
        <v>60</v>
      </c>
      <c r="B300" s="65" t="s">
        <v>58</v>
      </c>
      <c r="C300" s="19" t="s">
        <v>441</v>
      </c>
      <c r="D300" s="65" t="s">
        <v>119</v>
      </c>
      <c r="E300" s="75" t="s">
        <v>120</v>
      </c>
      <c r="F300" s="82">
        <v>236</v>
      </c>
      <c r="G300" s="82">
        <v>236</v>
      </c>
      <c r="H300" s="82">
        <v>236</v>
      </c>
    </row>
    <row r="301" spans="1:8" s="35" customFormat="1" ht="15" x14ac:dyDescent="0.2">
      <c r="A301" s="65" t="s">
        <v>60</v>
      </c>
      <c r="B301" s="65" t="s">
        <v>58</v>
      </c>
      <c r="C301" s="19" t="s">
        <v>442</v>
      </c>
      <c r="D301" s="65"/>
      <c r="E301" s="139" t="s">
        <v>343</v>
      </c>
      <c r="F301" s="82">
        <f t="shared" ref="F301:H301" si="95">F302</f>
        <v>13301</v>
      </c>
      <c r="G301" s="82">
        <f t="shared" si="95"/>
        <v>14512.3</v>
      </c>
      <c r="H301" s="82">
        <f t="shared" si="95"/>
        <v>15223.4</v>
      </c>
    </row>
    <row r="302" spans="1:8" s="35" customFormat="1" ht="38.25" x14ac:dyDescent="0.2">
      <c r="A302" s="65" t="s">
        <v>60</v>
      </c>
      <c r="B302" s="65" t="s">
        <v>58</v>
      </c>
      <c r="C302" s="19" t="s">
        <v>442</v>
      </c>
      <c r="D302" s="65" t="s">
        <v>119</v>
      </c>
      <c r="E302" s="75" t="s">
        <v>120</v>
      </c>
      <c r="F302" s="82">
        <v>13301</v>
      </c>
      <c r="G302" s="82">
        <v>14512.3</v>
      </c>
      <c r="H302" s="82">
        <v>15223.4</v>
      </c>
    </row>
    <row r="303" spans="1:8" s="35" customFormat="1" ht="39.75" customHeight="1" x14ac:dyDescent="0.2">
      <c r="A303" s="65" t="s">
        <v>60</v>
      </c>
      <c r="B303" s="65" t="s">
        <v>58</v>
      </c>
      <c r="C303" s="19" t="s">
        <v>341</v>
      </c>
      <c r="D303" s="65"/>
      <c r="E303" s="75" t="s">
        <v>443</v>
      </c>
      <c r="F303" s="82">
        <f>F304</f>
        <v>550</v>
      </c>
      <c r="G303" s="82">
        <f t="shared" ref="G303:H303" si="96">G304</f>
        <v>780</v>
      </c>
      <c r="H303" s="82">
        <f t="shared" si="96"/>
        <v>780</v>
      </c>
    </row>
    <row r="304" spans="1:8" s="35" customFormat="1" ht="36.75" customHeight="1" x14ac:dyDescent="0.2">
      <c r="A304" s="65" t="s">
        <v>60</v>
      </c>
      <c r="B304" s="65" t="s">
        <v>58</v>
      </c>
      <c r="C304" s="19" t="s">
        <v>341</v>
      </c>
      <c r="D304" s="65" t="s">
        <v>119</v>
      </c>
      <c r="E304" s="75" t="s">
        <v>120</v>
      </c>
      <c r="F304" s="82">
        <f>780-230</f>
        <v>550</v>
      </c>
      <c r="G304" s="82">
        <v>780</v>
      </c>
      <c r="H304" s="82">
        <v>780</v>
      </c>
    </row>
    <row r="305" spans="1:8" s="35" customFormat="1" ht="109.5" customHeight="1" x14ac:dyDescent="0.2">
      <c r="A305" s="5" t="s">
        <v>60</v>
      </c>
      <c r="B305" s="5" t="s">
        <v>58</v>
      </c>
      <c r="C305" s="60">
        <v>1200000000</v>
      </c>
      <c r="D305" s="16"/>
      <c r="E305" s="126" t="s">
        <v>215</v>
      </c>
      <c r="F305" s="86">
        <f>F306+F308+F310+F312+F314</f>
        <v>20094.700000000004</v>
      </c>
      <c r="G305" s="86">
        <f t="shared" ref="G305:H305" si="97">G306+G308+G310+G312+G314</f>
        <v>0</v>
      </c>
      <c r="H305" s="86">
        <f t="shared" si="97"/>
        <v>0</v>
      </c>
    </row>
    <row r="306" spans="1:8" s="35" customFormat="1" ht="38.25" x14ac:dyDescent="0.2">
      <c r="A306" s="65" t="s">
        <v>60</v>
      </c>
      <c r="B306" s="65" t="s">
        <v>58</v>
      </c>
      <c r="C306" s="58" t="s">
        <v>328</v>
      </c>
      <c r="D306" s="16"/>
      <c r="E306" s="76" t="s">
        <v>327</v>
      </c>
      <c r="F306" s="113">
        <f>F307</f>
        <v>9962.2000000000007</v>
      </c>
      <c r="G306" s="88">
        <f t="shared" ref="G306:H306" si="98">G307</f>
        <v>0</v>
      </c>
      <c r="H306" s="88">
        <f t="shared" si="98"/>
        <v>0</v>
      </c>
    </row>
    <row r="307" spans="1:8" s="35" customFormat="1" ht="38.25" x14ac:dyDescent="0.2">
      <c r="A307" s="65" t="s">
        <v>60</v>
      </c>
      <c r="B307" s="65" t="s">
        <v>58</v>
      </c>
      <c r="C307" s="58" t="s">
        <v>328</v>
      </c>
      <c r="D307" s="65" t="s">
        <v>119</v>
      </c>
      <c r="E307" s="75" t="s">
        <v>120</v>
      </c>
      <c r="F307" s="113">
        <v>9962.2000000000007</v>
      </c>
      <c r="G307" s="113">
        <v>0</v>
      </c>
      <c r="H307" s="113">
        <v>0</v>
      </c>
    </row>
    <row r="308" spans="1:8" s="35" customFormat="1" ht="38.25" x14ac:dyDescent="0.2">
      <c r="A308" s="65" t="s">
        <v>60</v>
      </c>
      <c r="B308" s="65" t="s">
        <v>58</v>
      </c>
      <c r="C308" s="58" t="s">
        <v>329</v>
      </c>
      <c r="D308" s="16"/>
      <c r="E308" s="76" t="s">
        <v>192</v>
      </c>
      <c r="F308" s="113">
        <f>F309</f>
        <v>5400.6</v>
      </c>
      <c r="G308" s="113">
        <f t="shared" ref="G308:H308" si="99">G309</f>
        <v>0</v>
      </c>
      <c r="H308" s="113">
        <f t="shared" si="99"/>
        <v>0</v>
      </c>
    </row>
    <row r="309" spans="1:8" s="35" customFormat="1" ht="38.25" x14ac:dyDescent="0.2">
      <c r="A309" s="65" t="s">
        <v>60</v>
      </c>
      <c r="B309" s="65" t="s">
        <v>58</v>
      </c>
      <c r="C309" s="58" t="s">
        <v>329</v>
      </c>
      <c r="D309" s="65" t="s">
        <v>119</v>
      </c>
      <c r="E309" s="75" t="s">
        <v>120</v>
      </c>
      <c r="F309" s="113">
        <v>5400.6</v>
      </c>
      <c r="G309" s="113">
        <v>0</v>
      </c>
      <c r="H309" s="113">
        <v>0</v>
      </c>
    </row>
    <row r="310" spans="1:8" s="35" customFormat="1" ht="51" x14ac:dyDescent="0.2">
      <c r="A310" s="65" t="s">
        <v>60</v>
      </c>
      <c r="B310" s="65" t="s">
        <v>58</v>
      </c>
      <c r="C310" s="58" t="s">
        <v>602</v>
      </c>
      <c r="D310" s="16"/>
      <c r="E310" s="76" t="s">
        <v>603</v>
      </c>
      <c r="F310" s="113">
        <f>F311</f>
        <v>3188.5</v>
      </c>
      <c r="G310" s="113">
        <f t="shared" ref="G310:H310" si="100">G311</f>
        <v>0</v>
      </c>
      <c r="H310" s="113">
        <f t="shared" si="100"/>
        <v>0</v>
      </c>
    </row>
    <row r="311" spans="1:8" s="35" customFormat="1" ht="38.25" x14ac:dyDescent="0.2">
      <c r="A311" s="65" t="s">
        <v>60</v>
      </c>
      <c r="B311" s="65" t="s">
        <v>58</v>
      </c>
      <c r="C311" s="58" t="s">
        <v>602</v>
      </c>
      <c r="D311" s="65" t="s">
        <v>119</v>
      </c>
      <c r="E311" s="75" t="s">
        <v>120</v>
      </c>
      <c r="F311" s="113">
        <v>3188.5</v>
      </c>
      <c r="G311" s="113">
        <v>0</v>
      </c>
      <c r="H311" s="113">
        <v>0</v>
      </c>
    </row>
    <row r="312" spans="1:8" s="35" customFormat="1" ht="41.25" customHeight="1" x14ac:dyDescent="0.2">
      <c r="A312" s="65" t="s">
        <v>60</v>
      </c>
      <c r="B312" s="65" t="s">
        <v>58</v>
      </c>
      <c r="C312" s="58">
        <v>1250123120</v>
      </c>
      <c r="D312" s="16"/>
      <c r="E312" s="106" t="s">
        <v>330</v>
      </c>
      <c r="F312" s="113">
        <f>F313</f>
        <v>9</v>
      </c>
      <c r="G312" s="113">
        <f t="shared" ref="G312:H312" si="101">G313</f>
        <v>0</v>
      </c>
      <c r="H312" s="113">
        <f t="shared" si="101"/>
        <v>0</v>
      </c>
    </row>
    <row r="313" spans="1:8" s="35" customFormat="1" ht="38.25" x14ac:dyDescent="0.2">
      <c r="A313" s="65" t="s">
        <v>60</v>
      </c>
      <c r="B313" s="65" t="s">
        <v>58</v>
      </c>
      <c r="C313" s="58">
        <v>1250123120</v>
      </c>
      <c r="D313" s="65" t="s">
        <v>119</v>
      </c>
      <c r="E313" s="75" t="s">
        <v>120</v>
      </c>
      <c r="F313" s="113">
        <v>9</v>
      </c>
      <c r="G313" s="113">
        <v>0</v>
      </c>
      <c r="H313" s="113">
        <v>0</v>
      </c>
    </row>
    <row r="314" spans="1:8" s="35" customFormat="1" ht="38.25" x14ac:dyDescent="0.2">
      <c r="A314" s="65" t="s">
        <v>60</v>
      </c>
      <c r="B314" s="65" t="s">
        <v>58</v>
      </c>
      <c r="C314" s="58">
        <v>1250123600</v>
      </c>
      <c r="D314" s="65"/>
      <c r="E314" s="75" t="s">
        <v>186</v>
      </c>
      <c r="F314" s="82">
        <f>F315</f>
        <v>1534.4000000000003</v>
      </c>
      <c r="G314" s="82">
        <f>G315</f>
        <v>0</v>
      </c>
      <c r="H314" s="82">
        <f>H315</f>
        <v>0</v>
      </c>
    </row>
    <row r="315" spans="1:8" s="35" customFormat="1" ht="38.25" x14ac:dyDescent="0.2">
      <c r="A315" s="65" t="s">
        <v>60</v>
      </c>
      <c r="B315" s="65" t="s">
        <v>58</v>
      </c>
      <c r="C315" s="58">
        <v>1250123600</v>
      </c>
      <c r="D315" s="65" t="s">
        <v>119</v>
      </c>
      <c r="E315" s="75" t="s">
        <v>120</v>
      </c>
      <c r="F315" s="82">
        <f>2703.8-250.6-918.8</f>
        <v>1534.4000000000003</v>
      </c>
      <c r="G315" s="82">
        <v>0</v>
      </c>
      <c r="H315" s="82">
        <v>0</v>
      </c>
    </row>
    <row r="316" spans="1:8" s="35" customFormat="1" ht="140.25" x14ac:dyDescent="0.2">
      <c r="A316" s="5" t="s">
        <v>60</v>
      </c>
      <c r="B316" s="5" t="s">
        <v>58</v>
      </c>
      <c r="C316" s="57" t="s">
        <v>27</v>
      </c>
      <c r="D316" s="65"/>
      <c r="E316" s="102" t="s">
        <v>216</v>
      </c>
      <c r="F316" s="86">
        <f>F317+F319+F321+F323+F325</f>
        <v>19490.2</v>
      </c>
      <c r="G316" s="86">
        <f t="shared" ref="G316:H316" si="102">G317+G319+G321+G323+G325</f>
        <v>0</v>
      </c>
      <c r="H316" s="86">
        <f t="shared" si="102"/>
        <v>0</v>
      </c>
    </row>
    <row r="317" spans="1:8" s="35" customFormat="1" ht="102" customHeight="1" x14ac:dyDescent="0.2">
      <c r="A317" s="110" t="s">
        <v>60</v>
      </c>
      <c r="B317" s="111" t="s">
        <v>58</v>
      </c>
      <c r="C317" s="112">
        <v>1320129027</v>
      </c>
      <c r="D317" s="65"/>
      <c r="E317" s="106" t="s">
        <v>533</v>
      </c>
      <c r="F317" s="82">
        <f>F318</f>
        <v>1153.4000000000001</v>
      </c>
      <c r="G317" s="82">
        <f t="shared" ref="G317:H319" si="103">G318</f>
        <v>0</v>
      </c>
      <c r="H317" s="82">
        <f t="shared" si="103"/>
        <v>0</v>
      </c>
    </row>
    <row r="318" spans="1:8" s="35" customFormat="1" ht="38.25" x14ac:dyDescent="0.2">
      <c r="A318" s="110" t="s">
        <v>60</v>
      </c>
      <c r="B318" s="111" t="s">
        <v>58</v>
      </c>
      <c r="C318" s="112">
        <v>1320129027</v>
      </c>
      <c r="D318" s="65" t="s">
        <v>119</v>
      </c>
      <c r="E318" s="74" t="s">
        <v>120</v>
      </c>
      <c r="F318" s="82">
        <f>1365-211.6</f>
        <v>1153.4000000000001</v>
      </c>
      <c r="G318" s="82">
        <v>0</v>
      </c>
      <c r="H318" s="82">
        <v>0</v>
      </c>
    </row>
    <row r="319" spans="1:8" s="35" customFormat="1" ht="100.5" customHeight="1" x14ac:dyDescent="0.2">
      <c r="A319" s="110" t="s">
        <v>60</v>
      </c>
      <c r="B319" s="111" t="s">
        <v>58</v>
      </c>
      <c r="C319" s="112">
        <v>1320119027</v>
      </c>
      <c r="D319" s="65"/>
      <c r="E319" s="106" t="s">
        <v>533</v>
      </c>
      <c r="F319" s="82">
        <f>F320</f>
        <v>2535</v>
      </c>
      <c r="G319" s="82">
        <f t="shared" si="103"/>
        <v>0</v>
      </c>
      <c r="H319" s="82">
        <f t="shared" si="103"/>
        <v>0</v>
      </c>
    </row>
    <row r="320" spans="1:8" s="35" customFormat="1" ht="38.25" x14ac:dyDescent="0.2">
      <c r="A320" s="110" t="s">
        <v>60</v>
      </c>
      <c r="B320" s="111" t="s">
        <v>58</v>
      </c>
      <c r="C320" s="112">
        <v>1320119027</v>
      </c>
      <c r="D320" s="65" t="s">
        <v>119</v>
      </c>
      <c r="E320" s="74" t="s">
        <v>120</v>
      </c>
      <c r="F320" s="82">
        <f>3000-465</f>
        <v>2535</v>
      </c>
      <c r="G320" s="82">
        <v>0</v>
      </c>
      <c r="H320" s="82">
        <v>0</v>
      </c>
    </row>
    <row r="321" spans="1:8" s="35" customFormat="1" ht="55.15" customHeight="1" x14ac:dyDescent="0.2">
      <c r="A321" s="110" t="s">
        <v>60</v>
      </c>
      <c r="B321" s="111" t="s">
        <v>58</v>
      </c>
      <c r="C321" s="112">
        <v>1350124017</v>
      </c>
      <c r="D321" s="65"/>
      <c r="E321" s="74" t="s">
        <v>407</v>
      </c>
      <c r="F321" s="82">
        <f>F322</f>
        <v>5543.5</v>
      </c>
      <c r="G321" s="82">
        <f t="shared" ref="G321:H321" si="104">G322</f>
        <v>0</v>
      </c>
      <c r="H321" s="82">
        <f t="shared" si="104"/>
        <v>0</v>
      </c>
    </row>
    <row r="322" spans="1:8" s="35" customFormat="1" ht="38.25" x14ac:dyDescent="0.2">
      <c r="A322" s="110" t="s">
        <v>60</v>
      </c>
      <c r="B322" s="111" t="s">
        <v>58</v>
      </c>
      <c r="C322" s="112">
        <v>1350124017</v>
      </c>
      <c r="D322" s="65" t="s">
        <v>119</v>
      </c>
      <c r="E322" s="74" t="s">
        <v>120</v>
      </c>
      <c r="F322" s="82">
        <f>4275.4-1025+2293.1</f>
        <v>5543.5</v>
      </c>
      <c r="G322" s="82">
        <v>0</v>
      </c>
      <c r="H322" s="82">
        <v>0</v>
      </c>
    </row>
    <row r="323" spans="1:8" s="35" customFormat="1" ht="55.15" customHeight="1" x14ac:dyDescent="0.2">
      <c r="A323" s="110" t="s">
        <v>60</v>
      </c>
      <c r="B323" s="111" t="s">
        <v>58</v>
      </c>
      <c r="C323" s="112">
        <v>1350124018</v>
      </c>
      <c r="D323" s="65"/>
      <c r="E323" s="74" t="s">
        <v>408</v>
      </c>
      <c r="F323" s="82">
        <f>F324</f>
        <v>7197.4</v>
      </c>
      <c r="G323" s="82">
        <f t="shared" ref="G323:H323" si="105">G324</f>
        <v>0</v>
      </c>
      <c r="H323" s="82">
        <f t="shared" si="105"/>
        <v>0</v>
      </c>
    </row>
    <row r="324" spans="1:8" s="35" customFormat="1" ht="38.25" x14ac:dyDescent="0.2">
      <c r="A324" s="110" t="s">
        <v>60</v>
      </c>
      <c r="B324" s="111" t="s">
        <v>58</v>
      </c>
      <c r="C324" s="112">
        <v>1350124018</v>
      </c>
      <c r="D324" s="65" t="s">
        <v>119</v>
      </c>
      <c r="E324" s="74" t="s">
        <v>120</v>
      </c>
      <c r="F324" s="82">
        <f>6305.7+891.7</f>
        <v>7197.4</v>
      </c>
      <c r="G324" s="82">
        <v>0</v>
      </c>
      <c r="H324" s="82">
        <v>0</v>
      </c>
    </row>
    <row r="325" spans="1:8" s="35" customFormat="1" ht="51" customHeight="1" x14ac:dyDescent="0.2">
      <c r="A325" s="110" t="s">
        <v>60</v>
      </c>
      <c r="B325" s="111" t="s">
        <v>58</v>
      </c>
      <c r="C325" s="112">
        <v>1350124019</v>
      </c>
      <c r="D325" s="65"/>
      <c r="E325" s="74" t="s">
        <v>409</v>
      </c>
      <c r="F325" s="82">
        <f>F326</f>
        <v>3060.9</v>
      </c>
      <c r="G325" s="82">
        <f t="shared" ref="G325:H325" si="106">G326</f>
        <v>0</v>
      </c>
      <c r="H325" s="82">
        <f t="shared" si="106"/>
        <v>0</v>
      </c>
    </row>
    <row r="326" spans="1:8" s="35" customFormat="1" ht="38.25" x14ac:dyDescent="0.2">
      <c r="A326" s="110" t="s">
        <v>60</v>
      </c>
      <c r="B326" s="111" t="s">
        <v>58</v>
      </c>
      <c r="C326" s="112">
        <v>1350124019</v>
      </c>
      <c r="D326" s="65" t="s">
        <v>119</v>
      </c>
      <c r="E326" s="74" t="s">
        <v>120</v>
      </c>
      <c r="F326" s="82">
        <f>2927.6+133.3</f>
        <v>3060.9</v>
      </c>
      <c r="G326" s="82">
        <v>0</v>
      </c>
      <c r="H326" s="82">
        <v>0</v>
      </c>
    </row>
    <row r="327" spans="1:8" s="35" customFormat="1" ht="38.25" x14ac:dyDescent="0.2">
      <c r="A327" s="110" t="s">
        <v>60</v>
      </c>
      <c r="B327" s="111" t="s">
        <v>58</v>
      </c>
      <c r="C327" s="65" t="s">
        <v>22</v>
      </c>
      <c r="D327" s="65"/>
      <c r="E327" s="76" t="s">
        <v>28</v>
      </c>
      <c r="F327" s="182">
        <f>F328</f>
        <v>150</v>
      </c>
      <c r="G327" s="182">
        <f t="shared" ref="G327:H327" si="107">G328</f>
        <v>0</v>
      </c>
      <c r="H327" s="182">
        <f t="shared" si="107"/>
        <v>0</v>
      </c>
    </row>
    <row r="328" spans="1:8" s="35" customFormat="1" ht="51" x14ac:dyDescent="0.2">
      <c r="A328" s="110" t="s">
        <v>60</v>
      </c>
      <c r="B328" s="111" t="s">
        <v>58</v>
      </c>
      <c r="C328" s="65" t="s">
        <v>598</v>
      </c>
      <c r="D328" s="16"/>
      <c r="E328" s="106" t="s">
        <v>607</v>
      </c>
      <c r="F328" s="182">
        <f>SUM(F329:F329)</f>
        <v>150</v>
      </c>
      <c r="G328" s="182">
        <f>SUM(G329:G329)</f>
        <v>0</v>
      </c>
      <c r="H328" s="182">
        <f>SUM(H329:H329)</f>
        <v>0</v>
      </c>
    </row>
    <row r="329" spans="1:8" s="35" customFormat="1" ht="38.25" x14ac:dyDescent="0.2">
      <c r="A329" s="110" t="s">
        <v>60</v>
      </c>
      <c r="B329" s="111" t="s">
        <v>58</v>
      </c>
      <c r="C329" s="65" t="s">
        <v>598</v>
      </c>
      <c r="D329" s="65" t="s">
        <v>119</v>
      </c>
      <c r="E329" s="75" t="s">
        <v>120</v>
      </c>
      <c r="F329" s="37">
        <f>200-50</f>
        <v>150</v>
      </c>
      <c r="G329" s="37">
        <v>0</v>
      </c>
      <c r="H329" s="37">
        <v>0</v>
      </c>
    </row>
    <row r="330" spans="1:8" s="35" customFormat="1" ht="43.5" customHeight="1" x14ac:dyDescent="0.2">
      <c r="A330" s="28" t="s">
        <v>60</v>
      </c>
      <c r="B330" s="28" t="s">
        <v>60</v>
      </c>
      <c r="C330" s="28"/>
      <c r="D330" s="28"/>
      <c r="E330" s="44" t="s">
        <v>172</v>
      </c>
      <c r="F330" s="88">
        <f>F331</f>
        <v>2148.1999999999998</v>
      </c>
      <c r="G330" s="88">
        <f>G331</f>
        <v>2229.1999999999998</v>
      </c>
      <c r="H330" s="88">
        <f>H331</f>
        <v>2318</v>
      </c>
    </row>
    <row r="331" spans="1:8" s="35" customFormat="1" ht="89.25" x14ac:dyDescent="0.2">
      <c r="A331" s="5" t="s">
        <v>60</v>
      </c>
      <c r="B331" s="5" t="s">
        <v>60</v>
      </c>
      <c r="C331" s="60">
        <v>400000000</v>
      </c>
      <c r="D331" s="29"/>
      <c r="E331" s="115" t="s">
        <v>207</v>
      </c>
      <c r="F331" s="86">
        <f>F332+F334</f>
        <v>2148.1999999999998</v>
      </c>
      <c r="G331" s="86">
        <f>G332+G334</f>
        <v>2229.1999999999998</v>
      </c>
      <c r="H331" s="86">
        <f>H332+H334</f>
        <v>2318</v>
      </c>
    </row>
    <row r="332" spans="1:8" s="35" customFormat="1" ht="90.75" customHeight="1" x14ac:dyDescent="0.2">
      <c r="A332" s="65" t="s">
        <v>60</v>
      </c>
      <c r="B332" s="65" t="s">
        <v>60</v>
      </c>
      <c r="C332" s="62">
        <v>450127310</v>
      </c>
      <c r="D332" s="16"/>
      <c r="E332" s="75" t="s">
        <v>392</v>
      </c>
      <c r="F332" s="82">
        <f>F333</f>
        <v>1958</v>
      </c>
      <c r="G332" s="82">
        <f>G333</f>
        <v>2036</v>
      </c>
      <c r="H332" s="82">
        <f>H333</f>
        <v>2117</v>
      </c>
    </row>
    <row r="333" spans="1:8" s="35" customFormat="1" ht="63.75" x14ac:dyDescent="0.2">
      <c r="A333" s="65" t="s">
        <v>60</v>
      </c>
      <c r="B333" s="65" t="s">
        <v>60</v>
      </c>
      <c r="C333" s="62">
        <v>450127310</v>
      </c>
      <c r="D333" s="16" t="s">
        <v>10</v>
      </c>
      <c r="E333" s="75" t="s">
        <v>137</v>
      </c>
      <c r="F333" s="82">
        <v>1958</v>
      </c>
      <c r="G333" s="82">
        <v>2036</v>
      </c>
      <c r="H333" s="82">
        <v>2117</v>
      </c>
    </row>
    <row r="334" spans="1:8" s="35" customFormat="1" ht="89.25" x14ac:dyDescent="0.2">
      <c r="A334" s="65" t="s">
        <v>60</v>
      </c>
      <c r="B334" s="65" t="s">
        <v>60</v>
      </c>
      <c r="C334" s="62">
        <v>450127320</v>
      </c>
      <c r="D334" s="16"/>
      <c r="E334" s="75" t="s">
        <v>393</v>
      </c>
      <c r="F334" s="82">
        <f>F335</f>
        <v>190.20000000000002</v>
      </c>
      <c r="G334" s="82">
        <f t="shared" ref="G334:H334" si="108">G335</f>
        <v>193.2</v>
      </c>
      <c r="H334" s="82">
        <f t="shared" si="108"/>
        <v>201</v>
      </c>
    </row>
    <row r="335" spans="1:8" s="35" customFormat="1" ht="63.75" x14ac:dyDescent="0.2">
      <c r="A335" s="65" t="s">
        <v>60</v>
      </c>
      <c r="B335" s="65" t="s">
        <v>60</v>
      </c>
      <c r="C335" s="62">
        <v>450127320</v>
      </c>
      <c r="D335" s="16" t="s">
        <v>10</v>
      </c>
      <c r="E335" s="75" t="s">
        <v>137</v>
      </c>
      <c r="F335" s="82">
        <f>185.8+4.4</f>
        <v>190.20000000000002</v>
      </c>
      <c r="G335" s="82">
        <v>193.2</v>
      </c>
      <c r="H335" s="82">
        <v>201</v>
      </c>
    </row>
    <row r="336" spans="1:8" s="35" customFormat="1" ht="15.75" x14ac:dyDescent="0.25">
      <c r="A336" s="4" t="s">
        <v>69</v>
      </c>
      <c r="B336" s="3"/>
      <c r="C336" s="3"/>
      <c r="D336" s="3"/>
      <c r="E336" s="10" t="s">
        <v>70</v>
      </c>
      <c r="F336" s="156">
        <f>F337+F354+F397+F438+F443+F460</f>
        <v>956243.99999999988</v>
      </c>
      <c r="G336" s="156">
        <f>G337+G354+G397+G438+G443+G460</f>
        <v>936666.69999999984</v>
      </c>
      <c r="H336" s="156">
        <f>H337+H354+H397+H438+H443+H460</f>
        <v>938255.79999999993</v>
      </c>
    </row>
    <row r="337" spans="1:8" s="35" customFormat="1" ht="14.25" x14ac:dyDescent="0.2">
      <c r="A337" s="33" t="s">
        <v>69</v>
      </c>
      <c r="B337" s="33" t="s">
        <v>53</v>
      </c>
      <c r="C337" s="33"/>
      <c r="D337" s="33"/>
      <c r="E337" s="39" t="s">
        <v>72</v>
      </c>
      <c r="F337" s="163">
        <f>F338+F351</f>
        <v>220363.5</v>
      </c>
      <c r="G337" s="163">
        <f t="shared" ref="G337:H337" si="109">G338+G351</f>
        <v>216344.8</v>
      </c>
      <c r="H337" s="163">
        <f t="shared" si="109"/>
        <v>216963.59999999998</v>
      </c>
    </row>
    <row r="338" spans="1:8" s="35" customFormat="1" ht="89.25" x14ac:dyDescent="0.2">
      <c r="A338" s="16" t="s">
        <v>69</v>
      </c>
      <c r="B338" s="16" t="s">
        <v>53</v>
      </c>
      <c r="C338" s="19" t="s">
        <v>46</v>
      </c>
      <c r="D338" s="33"/>
      <c r="E338" s="126" t="s">
        <v>204</v>
      </c>
      <c r="F338" s="164">
        <f>F339+F341+F343+F345+F347+F349</f>
        <v>219558.5</v>
      </c>
      <c r="G338" s="164">
        <f t="shared" ref="G338:H338" si="110">G339+G341+G343+G345+G347</f>
        <v>216344.8</v>
      </c>
      <c r="H338" s="164">
        <f t="shared" si="110"/>
        <v>216963.59999999998</v>
      </c>
    </row>
    <row r="339" spans="1:8" s="35" customFormat="1" ht="73.900000000000006" customHeight="1" x14ac:dyDescent="0.25">
      <c r="A339" s="16" t="s">
        <v>69</v>
      </c>
      <c r="B339" s="16" t="s">
        <v>53</v>
      </c>
      <c r="C339" s="19" t="s">
        <v>236</v>
      </c>
      <c r="D339" s="33"/>
      <c r="E339" s="124" t="s">
        <v>200</v>
      </c>
      <c r="F339" s="162">
        <f>F340</f>
        <v>1500</v>
      </c>
      <c r="G339" s="162">
        <f t="shared" ref="G339:H339" si="111">G340</f>
        <v>0</v>
      </c>
      <c r="H339" s="162">
        <f t="shared" si="111"/>
        <v>0</v>
      </c>
    </row>
    <row r="340" spans="1:8" s="35" customFormat="1" ht="14.25" x14ac:dyDescent="0.2">
      <c r="A340" s="16" t="s">
        <v>69</v>
      </c>
      <c r="B340" s="16" t="s">
        <v>53</v>
      </c>
      <c r="C340" s="19" t="s">
        <v>236</v>
      </c>
      <c r="D340" s="19" t="s">
        <v>122</v>
      </c>
      <c r="E340" s="75" t="s">
        <v>121</v>
      </c>
      <c r="F340" s="162">
        <v>1500</v>
      </c>
      <c r="G340" s="162">
        <v>0</v>
      </c>
      <c r="H340" s="162">
        <v>0</v>
      </c>
    </row>
    <row r="341" spans="1:8" s="35" customFormat="1" ht="54" customHeight="1" x14ac:dyDescent="0.2">
      <c r="A341" s="49" t="s">
        <v>69</v>
      </c>
      <c r="B341" s="49" t="s">
        <v>53</v>
      </c>
      <c r="C341" s="19" t="s">
        <v>238</v>
      </c>
      <c r="D341" s="19"/>
      <c r="E341" s="75" t="s">
        <v>158</v>
      </c>
      <c r="F341" s="162">
        <f>F342</f>
        <v>123306.5</v>
      </c>
      <c r="G341" s="162">
        <f t="shared" ref="G341:H341" si="112">G342</f>
        <v>123857.9</v>
      </c>
      <c r="H341" s="162">
        <f t="shared" si="112"/>
        <v>124476.7</v>
      </c>
    </row>
    <row r="342" spans="1:8" s="35" customFormat="1" ht="14.25" x14ac:dyDescent="0.2">
      <c r="A342" s="49" t="s">
        <v>69</v>
      </c>
      <c r="B342" s="49" t="s">
        <v>53</v>
      </c>
      <c r="C342" s="19" t="s">
        <v>238</v>
      </c>
      <c r="D342" s="19" t="s">
        <v>122</v>
      </c>
      <c r="E342" s="75" t="s">
        <v>121</v>
      </c>
      <c r="F342" s="165">
        <v>123306.5</v>
      </c>
      <c r="G342" s="165">
        <v>123857.9</v>
      </c>
      <c r="H342" s="165">
        <v>124476.7</v>
      </c>
    </row>
    <row r="343" spans="1:8" s="35" customFormat="1" ht="64.5" customHeight="1" x14ac:dyDescent="0.25">
      <c r="A343" s="49" t="s">
        <v>69</v>
      </c>
      <c r="B343" s="49" t="s">
        <v>53</v>
      </c>
      <c r="C343" s="95" t="s">
        <v>240</v>
      </c>
      <c r="D343" s="19"/>
      <c r="E343" s="127" t="s">
        <v>159</v>
      </c>
      <c r="F343" s="162">
        <f>F344</f>
        <v>92179.599999999991</v>
      </c>
      <c r="G343" s="162">
        <f t="shared" ref="G343:H343" si="113">G344</f>
        <v>92086.9</v>
      </c>
      <c r="H343" s="162">
        <f t="shared" si="113"/>
        <v>92086.9</v>
      </c>
    </row>
    <row r="344" spans="1:8" s="35" customFormat="1" ht="15" x14ac:dyDescent="0.25">
      <c r="A344" s="49" t="s">
        <v>69</v>
      </c>
      <c r="B344" s="49" t="s">
        <v>53</v>
      </c>
      <c r="C344" s="95" t="s">
        <v>240</v>
      </c>
      <c r="D344" s="19" t="s">
        <v>122</v>
      </c>
      <c r="E344" s="75" t="s">
        <v>121</v>
      </c>
      <c r="F344" s="162">
        <f>92086.9+198.5-105.8</f>
        <v>92179.599999999991</v>
      </c>
      <c r="G344" s="162">
        <v>92086.9</v>
      </c>
      <c r="H344" s="162">
        <v>92086.9</v>
      </c>
    </row>
    <row r="345" spans="1:8" s="35" customFormat="1" ht="63.75" x14ac:dyDescent="0.2">
      <c r="A345" s="49" t="s">
        <v>69</v>
      </c>
      <c r="B345" s="49" t="s">
        <v>53</v>
      </c>
      <c r="C345" s="19" t="s">
        <v>243</v>
      </c>
      <c r="D345" s="50"/>
      <c r="E345" s="127" t="s">
        <v>241</v>
      </c>
      <c r="F345" s="162">
        <f>F346</f>
        <v>1464.2</v>
      </c>
      <c r="G345" s="162">
        <f t="shared" ref="G345:H345" si="114">G346</f>
        <v>200</v>
      </c>
      <c r="H345" s="162">
        <f t="shared" si="114"/>
        <v>200</v>
      </c>
    </row>
    <row r="346" spans="1:8" s="35" customFormat="1" ht="14.25" x14ac:dyDescent="0.2">
      <c r="A346" s="49" t="s">
        <v>69</v>
      </c>
      <c r="B346" s="49" t="s">
        <v>53</v>
      </c>
      <c r="C346" s="19" t="s">
        <v>243</v>
      </c>
      <c r="D346" s="19" t="s">
        <v>122</v>
      </c>
      <c r="E346" s="75" t="s">
        <v>121</v>
      </c>
      <c r="F346" s="162">
        <f>871.1-200+793.1</f>
        <v>1464.2</v>
      </c>
      <c r="G346" s="162">
        <v>200</v>
      </c>
      <c r="H346" s="162">
        <v>200</v>
      </c>
    </row>
    <row r="347" spans="1:8" s="35" customFormat="1" ht="50.25" customHeight="1" x14ac:dyDescent="0.2">
      <c r="A347" s="49" t="s">
        <v>69</v>
      </c>
      <c r="B347" s="49" t="s">
        <v>53</v>
      </c>
      <c r="C347" s="50" t="s">
        <v>242</v>
      </c>
      <c r="D347" s="19"/>
      <c r="E347" s="75" t="s">
        <v>244</v>
      </c>
      <c r="F347" s="162">
        <f t="shared" ref="F347:H347" si="115">F348</f>
        <v>908.2</v>
      </c>
      <c r="G347" s="162">
        <f t="shared" si="115"/>
        <v>200</v>
      </c>
      <c r="H347" s="162">
        <f t="shared" si="115"/>
        <v>200</v>
      </c>
    </row>
    <row r="348" spans="1:8" s="35" customFormat="1" ht="14.25" x14ac:dyDescent="0.2">
      <c r="A348" s="49" t="s">
        <v>69</v>
      </c>
      <c r="B348" s="49" t="s">
        <v>53</v>
      </c>
      <c r="C348" s="50" t="s">
        <v>242</v>
      </c>
      <c r="D348" s="19" t="s">
        <v>122</v>
      </c>
      <c r="E348" s="75" t="s">
        <v>121</v>
      </c>
      <c r="F348" s="162">
        <f>141+767.2</f>
        <v>908.2</v>
      </c>
      <c r="G348" s="162">
        <v>200</v>
      </c>
      <c r="H348" s="162">
        <v>200</v>
      </c>
    </row>
    <row r="349" spans="1:8" s="35" customFormat="1" ht="38.25" customHeight="1" x14ac:dyDescent="0.2">
      <c r="A349" s="49" t="s">
        <v>69</v>
      </c>
      <c r="B349" s="49" t="s">
        <v>53</v>
      </c>
      <c r="C349" s="50" t="s">
        <v>611</v>
      </c>
      <c r="D349" s="19"/>
      <c r="E349" s="75" t="s">
        <v>612</v>
      </c>
      <c r="F349" s="162">
        <f>F350</f>
        <v>200</v>
      </c>
      <c r="G349" s="162">
        <f t="shared" ref="G349:H349" si="116">G350</f>
        <v>0</v>
      </c>
      <c r="H349" s="162">
        <f t="shared" si="116"/>
        <v>0</v>
      </c>
    </row>
    <row r="350" spans="1:8" s="35" customFormat="1" ht="14.25" x14ac:dyDescent="0.2">
      <c r="A350" s="49" t="s">
        <v>69</v>
      </c>
      <c r="B350" s="49" t="s">
        <v>53</v>
      </c>
      <c r="C350" s="50" t="s">
        <v>611</v>
      </c>
      <c r="D350" s="19" t="s">
        <v>122</v>
      </c>
      <c r="E350" s="75" t="s">
        <v>121</v>
      </c>
      <c r="F350" s="162">
        <v>200</v>
      </c>
      <c r="G350" s="162">
        <v>0</v>
      </c>
      <c r="H350" s="162">
        <v>0</v>
      </c>
    </row>
    <row r="351" spans="1:8" s="35" customFormat="1" ht="38.25" x14ac:dyDescent="0.2">
      <c r="A351" s="49" t="s">
        <v>69</v>
      </c>
      <c r="B351" s="49" t="s">
        <v>53</v>
      </c>
      <c r="C351" s="65" t="s">
        <v>22</v>
      </c>
      <c r="D351" s="65"/>
      <c r="E351" s="76" t="s">
        <v>28</v>
      </c>
      <c r="F351" s="182">
        <f>F352</f>
        <v>805</v>
      </c>
      <c r="G351" s="182">
        <f t="shared" ref="G351:H351" si="117">G352</f>
        <v>0</v>
      </c>
      <c r="H351" s="182">
        <f t="shared" si="117"/>
        <v>0</v>
      </c>
    </row>
    <row r="352" spans="1:8" s="35" customFormat="1" ht="51" x14ac:dyDescent="0.2">
      <c r="A352" s="49" t="s">
        <v>69</v>
      </c>
      <c r="B352" s="49" t="s">
        <v>53</v>
      </c>
      <c r="C352" s="65" t="s">
        <v>599</v>
      </c>
      <c r="D352" s="16"/>
      <c r="E352" s="106" t="s">
        <v>607</v>
      </c>
      <c r="F352" s="182">
        <f>SUM(F353:F353)</f>
        <v>805</v>
      </c>
      <c r="G352" s="182">
        <f>SUM(G353:G353)</f>
        <v>0</v>
      </c>
      <c r="H352" s="182">
        <f>SUM(H353:H353)</f>
        <v>0</v>
      </c>
    </row>
    <row r="353" spans="1:8" s="35" customFormat="1" ht="14.25" x14ac:dyDescent="0.2">
      <c r="A353" s="49" t="s">
        <v>69</v>
      </c>
      <c r="B353" s="49" t="s">
        <v>53</v>
      </c>
      <c r="C353" s="65" t="s">
        <v>599</v>
      </c>
      <c r="D353" s="19" t="s">
        <v>122</v>
      </c>
      <c r="E353" s="75" t="s">
        <v>121</v>
      </c>
      <c r="F353" s="37">
        <v>805</v>
      </c>
      <c r="G353" s="37">
        <v>0</v>
      </c>
      <c r="H353" s="37">
        <v>0</v>
      </c>
    </row>
    <row r="354" spans="1:8" s="35" customFormat="1" ht="14.25" x14ac:dyDescent="0.2">
      <c r="A354" s="33" t="s">
        <v>69</v>
      </c>
      <c r="B354" s="33" t="s">
        <v>54</v>
      </c>
      <c r="C354" s="33"/>
      <c r="D354" s="33"/>
      <c r="E354" s="39" t="s">
        <v>73</v>
      </c>
      <c r="F354" s="161">
        <f>F355+F394</f>
        <v>582339.69999999995</v>
      </c>
      <c r="G354" s="161">
        <f t="shared" ref="G354:H354" si="118">G355+G394</f>
        <v>574988.29999999993</v>
      </c>
      <c r="H354" s="161">
        <f t="shared" si="118"/>
        <v>576158.6</v>
      </c>
    </row>
    <row r="355" spans="1:8" s="35" customFormat="1" ht="93.75" customHeight="1" x14ac:dyDescent="0.25">
      <c r="A355" s="16" t="s">
        <v>69</v>
      </c>
      <c r="B355" s="16" t="s">
        <v>54</v>
      </c>
      <c r="C355" s="57" t="s">
        <v>46</v>
      </c>
      <c r="D355" s="33"/>
      <c r="E355" s="126" t="s">
        <v>204</v>
      </c>
      <c r="F355" s="166">
        <f>F356+F358+F360+F362+F364+F366+F368+F370+F372+F374+F376+F378+F380+F382+F384+F386+F388+F390+F392</f>
        <v>581504.69999999995</v>
      </c>
      <c r="G355" s="166">
        <f t="shared" ref="G355:H355" si="119">G356+G358+G360+G362+G364+G366+G368+G370+G372+G374+G376+G378+G380+G382+G384+G386+G388+G390+G392</f>
        <v>574988.29999999993</v>
      </c>
      <c r="H355" s="166">
        <f t="shared" si="119"/>
        <v>576158.6</v>
      </c>
    </row>
    <row r="356" spans="1:8" s="35" customFormat="1" ht="78.75" customHeight="1" x14ac:dyDescent="0.2">
      <c r="A356" s="49" t="s">
        <v>69</v>
      </c>
      <c r="B356" s="72" t="s">
        <v>54</v>
      </c>
      <c r="C356" s="1" t="s">
        <v>263</v>
      </c>
      <c r="D356" s="19"/>
      <c r="E356" s="75" t="s">
        <v>262</v>
      </c>
      <c r="F356" s="113">
        <f>F357</f>
        <v>937.4</v>
      </c>
      <c r="G356" s="113">
        <f t="shared" ref="G356:H356" si="120">G357</f>
        <v>937.4</v>
      </c>
      <c r="H356" s="113">
        <f t="shared" si="120"/>
        <v>937.4</v>
      </c>
    </row>
    <row r="357" spans="1:8" s="35" customFormat="1" ht="14.25" customHeight="1" x14ac:dyDescent="0.2">
      <c r="A357" s="16" t="s">
        <v>69</v>
      </c>
      <c r="B357" s="16" t="s">
        <v>54</v>
      </c>
      <c r="C357" s="1" t="s">
        <v>263</v>
      </c>
      <c r="D357" s="19" t="s">
        <v>122</v>
      </c>
      <c r="E357" s="75" t="s">
        <v>121</v>
      </c>
      <c r="F357" s="113">
        <v>937.4</v>
      </c>
      <c r="G357" s="113">
        <v>937.4</v>
      </c>
      <c r="H357" s="113">
        <v>937.4</v>
      </c>
    </row>
    <row r="358" spans="1:8" s="35" customFormat="1" ht="67.5" customHeight="1" x14ac:dyDescent="0.2">
      <c r="A358" s="49" t="s">
        <v>69</v>
      </c>
      <c r="B358" s="72" t="s">
        <v>54</v>
      </c>
      <c r="C358" s="1" t="s">
        <v>264</v>
      </c>
      <c r="D358" s="19"/>
      <c r="E358" s="75" t="s">
        <v>188</v>
      </c>
      <c r="F358" s="113">
        <f>F359</f>
        <v>2482.6999999999998</v>
      </c>
      <c r="G358" s="113">
        <f t="shared" ref="G358:H358" si="121">G359</f>
        <v>2540.1999999999998</v>
      </c>
      <c r="H358" s="113">
        <f t="shared" si="121"/>
        <v>2571.6999999999998</v>
      </c>
    </row>
    <row r="359" spans="1:8" s="35" customFormat="1" ht="15.75" customHeight="1" x14ac:dyDescent="0.2">
      <c r="A359" s="16" t="s">
        <v>69</v>
      </c>
      <c r="B359" s="16" t="s">
        <v>54</v>
      </c>
      <c r="C359" s="1" t="s">
        <v>264</v>
      </c>
      <c r="D359" s="19" t="s">
        <v>122</v>
      </c>
      <c r="E359" s="75" t="s">
        <v>121</v>
      </c>
      <c r="F359" s="113">
        <v>2482.6999999999998</v>
      </c>
      <c r="G359" s="113">
        <v>2540.1999999999998</v>
      </c>
      <c r="H359" s="113">
        <v>2571.6999999999998</v>
      </c>
    </row>
    <row r="360" spans="1:8" s="35" customFormat="1" ht="64.5" customHeight="1" x14ac:dyDescent="0.2">
      <c r="A360" s="49" t="s">
        <v>69</v>
      </c>
      <c r="B360" s="72" t="s">
        <v>54</v>
      </c>
      <c r="C360" s="50" t="s">
        <v>261</v>
      </c>
      <c r="D360" s="19"/>
      <c r="E360" s="75" t="s">
        <v>162</v>
      </c>
      <c r="F360" s="162">
        <f>F361</f>
        <v>30310.6</v>
      </c>
      <c r="G360" s="162">
        <f>G361</f>
        <v>30310.6</v>
      </c>
      <c r="H360" s="162">
        <f>H361</f>
        <v>30310.6</v>
      </c>
    </row>
    <row r="361" spans="1:8" s="35" customFormat="1" ht="16.5" customHeight="1" x14ac:dyDescent="0.2">
      <c r="A361" s="16" t="s">
        <v>69</v>
      </c>
      <c r="B361" s="16" t="s">
        <v>54</v>
      </c>
      <c r="C361" s="50" t="s">
        <v>261</v>
      </c>
      <c r="D361" s="19" t="s">
        <v>122</v>
      </c>
      <c r="E361" s="75" t="s">
        <v>121</v>
      </c>
      <c r="F361" s="113">
        <v>30310.6</v>
      </c>
      <c r="G361" s="113">
        <v>30310.6</v>
      </c>
      <c r="H361" s="113">
        <v>30310.6</v>
      </c>
    </row>
    <row r="362" spans="1:8" s="35" customFormat="1" ht="77.25" customHeight="1" x14ac:dyDescent="0.2">
      <c r="A362" s="16" t="s">
        <v>69</v>
      </c>
      <c r="B362" s="16" t="s">
        <v>54</v>
      </c>
      <c r="C362" s="19" t="s">
        <v>254</v>
      </c>
      <c r="D362" s="33"/>
      <c r="E362" s="128" t="s">
        <v>253</v>
      </c>
      <c r="F362" s="162">
        <f>F363</f>
        <v>35224.800000000003</v>
      </c>
      <c r="G362" s="162">
        <f t="shared" ref="G362:H362" si="122">G363</f>
        <v>35224.800000000003</v>
      </c>
      <c r="H362" s="162">
        <f t="shared" si="122"/>
        <v>35224.800000000003</v>
      </c>
    </row>
    <row r="363" spans="1:8" s="35" customFormat="1" ht="18" customHeight="1" x14ac:dyDescent="0.2">
      <c r="A363" s="16" t="s">
        <v>69</v>
      </c>
      <c r="B363" s="16" t="s">
        <v>54</v>
      </c>
      <c r="C363" s="19" t="s">
        <v>254</v>
      </c>
      <c r="D363" s="19" t="s">
        <v>122</v>
      </c>
      <c r="E363" s="75" t="s">
        <v>121</v>
      </c>
      <c r="F363" s="162">
        <v>35224.800000000003</v>
      </c>
      <c r="G363" s="162">
        <v>35224.800000000003</v>
      </c>
      <c r="H363" s="162">
        <v>35224.800000000003</v>
      </c>
    </row>
    <row r="364" spans="1:8" s="35" customFormat="1" ht="89.25" customHeight="1" x14ac:dyDescent="0.2">
      <c r="A364" s="16" t="s">
        <v>69</v>
      </c>
      <c r="B364" s="16" t="s">
        <v>54</v>
      </c>
      <c r="C364" s="19" t="s">
        <v>564</v>
      </c>
      <c r="D364" s="19"/>
      <c r="E364" s="128" t="s">
        <v>565</v>
      </c>
      <c r="F364" s="162">
        <f>F365</f>
        <v>158.19999999999999</v>
      </c>
      <c r="G364" s="162">
        <f t="shared" ref="G364:H364" si="123">G365</f>
        <v>0</v>
      </c>
      <c r="H364" s="162">
        <f t="shared" si="123"/>
        <v>0</v>
      </c>
    </row>
    <row r="365" spans="1:8" s="35" customFormat="1" ht="18" customHeight="1" x14ac:dyDescent="0.2">
      <c r="A365" s="16" t="s">
        <v>69</v>
      </c>
      <c r="B365" s="16" t="s">
        <v>54</v>
      </c>
      <c r="C365" s="19" t="s">
        <v>564</v>
      </c>
      <c r="D365" s="19" t="s">
        <v>122</v>
      </c>
      <c r="E365" s="75" t="s">
        <v>121</v>
      </c>
      <c r="F365" s="162">
        <v>158.19999999999999</v>
      </c>
      <c r="G365" s="162">
        <v>0</v>
      </c>
      <c r="H365" s="162">
        <v>0</v>
      </c>
    </row>
    <row r="366" spans="1:8" s="35" customFormat="1" ht="67.5" customHeight="1" x14ac:dyDescent="0.2">
      <c r="A366" s="16" t="s">
        <v>69</v>
      </c>
      <c r="B366" s="16" t="s">
        <v>54</v>
      </c>
      <c r="C366" s="19" t="s">
        <v>256</v>
      </c>
      <c r="D366" s="33"/>
      <c r="E366" s="48" t="s">
        <v>156</v>
      </c>
      <c r="F366" s="162">
        <f>F367</f>
        <v>19188.300000000003</v>
      </c>
      <c r="G366" s="162">
        <f t="shared" ref="G366:H366" si="124">G367</f>
        <v>18719.300000000003</v>
      </c>
      <c r="H366" s="162">
        <f t="shared" si="124"/>
        <v>17863.5</v>
      </c>
    </row>
    <row r="367" spans="1:8" s="35" customFormat="1" ht="18" customHeight="1" x14ac:dyDescent="0.2">
      <c r="A367" s="16" t="s">
        <v>69</v>
      </c>
      <c r="B367" s="16" t="s">
        <v>54</v>
      </c>
      <c r="C367" s="19" t="s">
        <v>256</v>
      </c>
      <c r="D367" s="19" t="s">
        <v>122</v>
      </c>
      <c r="E367" s="75" t="s">
        <v>121</v>
      </c>
      <c r="F367" s="162">
        <f>19188.4-0.1</f>
        <v>19188.300000000003</v>
      </c>
      <c r="G367" s="162">
        <f>18719.4-0.1</f>
        <v>18719.300000000003</v>
      </c>
      <c r="H367" s="162">
        <f>17863.6-0.1</f>
        <v>17863.5</v>
      </c>
    </row>
    <row r="368" spans="1:8" s="35" customFormat="1" ht="39.75" customHeight="1" x14ac:dyDescent="0.2">
      <c r="A368" s="16" t="s">
        <v>69</v>
      </c>
      <c r="B368" s="16" t="s">
        <v>54</v>
      </c>
      <c r="C368" s="19" t="s">
        <v>298</v>
      </c>
      <c r="D368" s="19"/>
      <c r="E368" s="75" t="s">
        <v>259</v>
      </c>
      <c r="F368" s="162">
        <f>F369</f>
        <v>73.799999999999983</v>
      </c>
      <c r="G368" s="162">
        <f t="shared" ref="G368:H368" si="125">G369</f>
        <v>430</v>
      </c>
      <c r="H368" s="162">
        <f t="shared" si="125"/>
        <v>430</v>
      </c>
    </row>
    <row r="369" spans="1:8" s="35" customFormat="1" ht="14.25" x14ac:dyDescent="0.2">
      <c r="A369" s="16" t="s">
        <v>69</v>
      </c>
      <c r="B369" s="16" t="s">
        <v>54</v>
      </c>
      <c r="C369" s="19" t="s">
        <v>298</v>
      </c>
      <c r="D369" s="19" t="s">
        <v>122</v>
      </c>
      <c r="E369" s="75" t="s">
        <v>121</v>
      </c>
      <c r="F369" s="162">
        <f>430-356.1-0.1</f>
        <v>73.799999999999983</v>
      </c>
      <c r="G369" s="162">
        <v>430</v>
      </c>
      <c r="H369" s="162">
        <v>430</v>
      </c>
    </row>
    <row r="370" spans="1:8" s="35" customFormat="1" ht="25.5" x14ac:dyDescent="0.2">
      <c r="A370" s="49" t="s">
        <v>69</v>
      </c>
      <c r="B370" s="72" t="s">
        <v>54</v>
      </c>
      <c r="C370" s="19" t="s">
        <v>536</v>
      </c>
      <c r="D370" s="19"/>
      <c r="E370" s="75" t="s">
        <v>538</v>
      </c>
      <c r="F370" s="162">
        <f>F371</f>
        <v>269</v>
      </c>
      <c r="G370" s="162">
        <f>G371</f>
        <v>0</v>
      </c>
      <c r="H370" s="162">
        <f>H371</f>
        <v>0</v>
      </c>
    </row>
    <row r="371" spans="1:8" s="35" customFormat="1" ht="14.25" x14ac:dyDescent="0.2">
      <c r="A371" s="49" t="s">
        <v>69</v>
      </c>
      <c r="B371" s="72" t="s">
        <v>54</v>
      </c>
      <c r="C371" s="19" t="s">
        <v>536</v>
      </c>
      <c r="D371" s="19" t="s">
        <v>122</v>
      </c>
      <c r="E371" s="75" t="s">
        <v>121</v>
      </c>
      <c r="F371" s="162">
        <f>138.1+269-138.1</f>
        <v>269</v>
      </c>
      <c r="G371" s="162">
        <v>0</v>
      </c>
      <c r="H371" s="162">
        <v>0</v>
      </c>
    </row>
    <row r="372" spans="1:8" s="35" customFormat="1" ht="39.75" customHeight="1" x14ac:dyDescent="0.2">
      <c r="A372" s="16" t="s">
        <v>69</v>
      </c>
      <c r="B372" s="16" t="s">
        <v>54</v>
      </c>
      <c r="C372" s="19" t="s">
        <v>539</v>
      </c>
      <c r="D372" s="19"/>
      <c r="E372" s="75" t="s">
        <v>537</v>
      </c>
      <c r="F372" s="162">
        <f>F373</f>
        <v>365.1</v>
      </c>
      <c r="G372" s="162">
        <f t="shared" ref="G372:H372" si="126">G373</f>
        <v>0</v>
      </c>
      <c r="H372" s="162">
        <f t="shared" si="126"/>
        <v>0</v>
      </c>
    </row>
    <row r="373" spans="1:8" s="35" customFormat="1" ht="14.25" x14ac:dyDescent="0.2">
      <c r="A373" s="49" t="s">
        <v>69</v>
      </c>
      <c r="B373" s="72" t="s">
        <v>54</v>
      </c>
      <c r="C373" s="19" t="s">
        <v>539</v>
      </c>
      <c r="D373" s="19" t="s">
        <v>122</v>
      </c>
      <c r="E373" s="75" t="s">
        <v>121</v>
      </c>
      <c r="F373" s="162">
        <f>187.4+0.1+365.1-187.5</f>
        <v>365.1</v>
      </c>
      <c r="G373" s="162">
        <v>0</v>
      </c>
      <c r="H373" s="162">
        <v>0</v>
      </c>
    </row>
    <row r="374" spans="1:8" s="35" customFormat="1" ht="38.25" x14ac:dyDescent="0.2">
      <c r="A374" s="16" t="s">
        <v>69</v>
      </c>
      <c r="B374" s="16" t="s">
        <v>54</v>
      </c>
      <c r="C374" s="19" t="s">
        <v>540</v>
      </c>
      <c r="D374" s="19"/>
      <c r="E374" s="75" t="s">
        <v>541</v>
      </c>
      <c r="F374" s="162">
        <f>F375</f>
        <v>59.599999999999994</v>
      </c>
      <c r="G374" s="162">
        <f t="shared" ref="G374:H374" si="127">G375</f>
        <v>0</v>
      </c>
      <c r="H374" s="162">
        <f t="shared" si="127"/>
        <v>0</v>
      </c>
    </row>
    <row r="375" spans="1:8" s="35" customFormat="1" ht="14.25" x14ac:dyDescent="0.2">
      <c r="A375" s="16" t="s">
        <v>69</v>
      </c>
      <c r="B375" s="16" t="s">
        <v>54</v>
      </c>
      <c r="C375" s="19" t="s">
        <v>540</v>
      </c>
      <c r="D375" s="19" t="s">
        <v>122</v>
      </c>
      <c r="E375" s="75" t="s">
        <v>121</v>
      </c>
      <c r="F375" s="162">
        <f>30.6+59.5-30.5</f>
        <v>59.599999999999994</v>
      </c>
      <c r="G375" s="162">
        <v>0</v>
      </c>
      <c r="H375" s="162">
        <v>0</v>
      </c>
    </row>
    <row r="376" spans="1:8" s="35" customFormat="1" ht="76.5" x14ac:dyDescent="0.2">
      <c r="A376" s="49" t="s">
        <v>69</v>
      </c>
      <c r="B376" s="72" t="s">
        <v>54</v>
      </c>
      <c r="C376" s="65" t="s">
        <v>247</v>
      </c>
      <c r="D376" s="65"/>
      <c r="E376" s="75" t="s">
        <v>161</v>
      </c>
      <c r="F376" s="162">
        <f>F377</f>
        <v>349235.4</v>
      </c>
      <c r="G376" s="162">
        <f>G377</f>
        <v>351183.6</v>
      </c>
      <c r="H376" s="162">
        <f>H377</f>
        <v>353178.2</v>
      </c>
    </row>
    <row r="377" spans="1:8" s="35" customFormat="1" ht="14.25" x14ac:dyDescent="0.2">
      <c r="A377" s="49" t="s">
        <v>69</v>
      </c>
      <c r="B377" s="72" t="s">
        <v>54</v>
      </c>
      <c r="C377" s="50" t="s">
        <v>247</v>
      </c>
      <c r="D377" s="19" t="s">
        <v>122</v>
      </c>
      <c r="E377" s="75" t="s">
        <v>121</v>
      </c>
      <c r="F377" s="113">
        <v>349235.4</v>
      </c>
      <c r="G377" s="113">
        <v>351183.6</v>
      </c>
      <c r="H377" s="113">
        <v>353178.2</v>
      </c>
    </row>
    <row r="378" spans="1:8" s="35" customFormat="1" ht="63.75" x14ac:dyDescent="0.2">
      <c r="A378" s="16" t="s">
        <v>69</v>
      </c>
      <c r="B378" s="16" t="s">
        <v>54</v>
      </c>
      <c r="C378" s="50" t="s">
        <v>248</v>
      </c>
      <c r="D378" s="19"/>
      <c r="E378" s="75" t="s">
        <v>133</v>
      </c>
      <c r="F378" s="162">
        <f>F379</f>
        <v>128398.50000000001</v>
      </c>
      <c r="G378" s="162">
        <f>G379</f>
        <v>124052.6</v>
      </c>
      <c r="H378" s="162">
        <f>H379</f>
        <v>124052.6</v>
      </c>
    </row>
    <row r="379" spans="1:8" s="35" customFormat="1" ht="14.25" x14ac:dyDescent="0.2">
      <c r="A379" s="49" t="s">
        <v>69</v>
      </c>
      <c r="B379" s="72" t="s">
        <v>54</v>
      </c>
      <c r="C379" s="50" t="s">
        <v>248</v>
      </c>
      <c r="D379" s="19" t="s">
        <v>122</v>
      </c>
      <c r="E379" s="75" t="s">
        <v>121</v>
      </c>
      <c r="F379" s="162">
        <f>124052.6+423.3+3816.8+105.8</f>
        <v>128398.50000000001</v>
      </c>
      <c r="G379" s="162">
        <v>124052.6</v>
      </c>
      <c r="H379" s="162">
        <v>124052.6</v>
      </c>
    </row>
    <row r="380" spans="1:8" s="35" customFormat="1" ht="51" x14ac:dyDescent="0.2">
      <c r="A380" s="16" t="s">
        <v>69</v>
      </c>
      <c r="B380" s="16" t="s">
        <v>54</v>
      </c>
      <c r="C380" s="50" t="s">
        <v>249</v>
      </c>
      <c r="D380" s="19"/>
      <c r="E380" s="75" t="s">
        <v>164</v>
      </c>
      <c r="F380" s="162">
        <f>F381</f>
        <v>1831.9</v>
      </c>
      <c r="G380" s="162">
        <f>G381</f>
        <v>200</v>
      </c>
      <c r="H380" s="162">
        <f>H381</f>
        <v>200</v>
      </c>
    </row>
    <row r="381" spans="1:8" s="35" customFormat="1" ht="14.25" x14ac:dyDescent="0.2">
      <c r="A381" s="16" t="s">
        <v>69</v>
      </c>
      <c r="B381" s="16" t="s">
        <v>54</v>
      </c>
      <c r="C381" s="50" t="s">
        <v>249</v>
      </c>
      <c r="D381" s="19" t="s">
        <v>122</v>
      </c>
      <c r="E381" s="75" t="s">
        <v>121</v>
      </c>
      <c r="F381" s="162">
        <f>976.5+140+715.4</f>
        <v>1831.9</v>
      </c>
      <c r="G381" s="162">
        <v>200</v>
      </c>
      <c r="H381" s="162">
        <v>200</v>
      </c>
    </row>
    <row r="382" spans="1:8" s="35" customFormat="1" ht="38.25" x14ac:dyDescent="0.2">
      <c r="A382" s="16" t="s">
        <v>69</v>
      </c>
      <c r="B382" s="16" t="s">
        <v>54</v>
      </c>
      <c r="C382" s="50" t="s">
        <v>250</v>
      </c>
      <c r="D382" s="50"/>
      <c r="E382" s="92" t="s">
        <v>251</v>
      </c>
      <c r="F382" s="162">
        <f>F383</f>
        <v>877.7</v>
      </c>
      <c r="G382" s="162">
        <f>G383</f>
        <v>200</v>
      </c>
      <c r="H382" s="162">
        <f>H383</f>
        <v>200</v>
      </c>
    </row>
    <row r="383" spans="1:8" s="35" customFormat="1" ht="14.25" x14ac:dyDescent="0.2">
      <c r="A383" s="16" t="s">
        <v>69</v>
      </c>
      <c r="B383" s="16" t="s">
        <v>54</v>
      </c>
      <c r="C383" s="50" t="s">
        <v>250</v>
      </c>
      <c r="D383" s="19" t="s">
        <v>122</v>
      </c>
      <c r="E383" s="75" t="s">
        <v>121</v>
      </c>
      <c r="F383" s="162">
        <v>877.7</v>
      </c>
      <c r="G383" s="162">
        <v>200</v>
      </c>
      <c r="H383" s="162">
        <v>200</v>
      </c>
    </row>
    <row r="384" spans="1:8" s="35" customFormat="1" ht="51" x14ac:dyDescent="0.2">
      <c r="A384" s="16" t="s">
        <v>69</v>
      </c>
      <c r="B384" s="16" t="s">
        <v>54</v>
      </c>
      <c r="C384" s="50" t="s">
        <v>562</v>
      </c>
      <c r="D384" s="19"/>
      <c r="E384" s="75" t="s">
        <v>563</v>
      </c>
      <c r="F384" s="162">
        <f>F385</f>
        <v>1560</v>
      </c>
      <c r="G384" s="162">
        <f t="shared" ref="G384:H384" si="128">G385</f>
        <v>0</v>
      </c>
      <c r="H384" s="162">
        <f t="shared" si="128"/>
        <v>0</v>
      </c>
    </row>
    <row r="385" spans="1:8" s="35" customFormat="1" ht="14.25" x14ac:dyDescent="0.2">
      <c r="A385" s="16" t="s">
        <v>69</v>
      </c>
      <c r="B385" s="16" t="s">
        <v>54</v>
      </c>
      <c r="C385" s="50" t="s">
        <v>562</v>
      </c>
      <c r="D385" s="19" t="s">
        <v>122</v>
      </c>
      <c r="E385" s="75" t="s">
        <v>121</v>
      </c>
      <c r="F385" s="162">
        <f>603.9+356.1+600</f>
        <v>1560</v>
      </c>
      <c r="G385" s="162">
        <v>0</v>
      </c>
      <c r="H385" s="162">
        <v>0</v>
      </c>
    </row>
    <row r="386" spans="1:8" ht="76.5" x14ac:dyDescent="0.2">
      <c r="A386" s="16" t="s">
        <v>69</v>
      </c>
      <c r="B386" s="16" t="s">
        <v>54</v>
      </c>
      <c r="C386" s="19" t="s">
        <v>255</v>
      </c>
      <c r="D386" s="19"/>
      <c r="E386" s="75" t="s">
        <v>183</v>
      </c>
      <c r="F386" s="162">
        <f>F387</f>
        <v>315</v>
      </c>
      <c r="G386" s="162">
        <f>G387</f>
        <v>180</v>
      </c>
      <c r="H386" s="162">
        <f>H387</f>
        <v>180</v>
      </c>
    </row>
    <row r="387" spans="1:8" x14ac:dyDescent="0.2">
      <c r="A387" s="16" t="s">
        <v>69</v>
      </c>
      <c r="B387" s="16" t="s">
        <v>54</v>
      </c>
      <c r="C387" s="19" t="s">
        <v>255</v>
      </c>
      <c r="D387" s="19" t="s">
        <v>122</v>
      </c>
      <c r="E387" s="75" t="s">
        <v>121</v>
      </c>
      <c r="F387" s="82">
        <v>315</v>
      </c>
      <c r="G387" s="82">
        <v>180</v>
      </c>
      <c r="H387" s="82">
        <v>180</v>
      </c>
    </row>
    <row r="388" spans="1:8" ht="63.75" x14ac:dyDescent="0.2">
      <c r="A388" s="16" t="s">
        <v>69</v>
      </c>
      <c r="B388" s="16" t="s">
        <v>54</v>
      </c>
      <c r="C388" s="19" t="s">
        <v>257</v>
      </c>
      <c r="D388" s="19"/>
      <c r="E388" s="75" t="s">
        <v>179</v>
      </c>
      <c r="F388" s="82">
        <f>F389</f>
        <v>7405.1</v>
      </c>
      <c r="G388" s="82">
        <f t="shared" ref="G388:H390" si="129">G389</f>
        <v>8198.2000000000007</v>
      </c>
      <c r="H388" s="82">
        <f t="shared" si="129"/>
        <v>8198.2000000000007</v>
      </c>
    </row>
    <row r="389" spans="1:8" x14ac:dyDescent="0.2">
      <c r="A389" s="16" t="s">
        <v>69</v>
      </c>
      <c r="B389" s="16" t="s">
        <v>54</v>
      </c>
      <c r="C389" s="19" t="s">
        <v>257</v>
      </c>
      <c r="D389" s="19" t="s">
        <v>122</v>
      </c>
      <c r="E389" s="75" t="s">
        <v>121</v>
      </c>
      <c r="F389" s="82">
        <f>8198.2-793.1</f>
        <v>7405.1</v>
      </c>
      <c r="G389" s="82">
        <v>8198.2000000000007</v>
      </c>
      <c r="H389" s="82">
        <v>8198.2000000000007</v>
      </c>
    </row>
    <row r="390" spans="1:8" ht="76.5" x14ac:dyDescent="0.2">
      <c r="A390" s="16" t="s">
        <v>69</v>
      </c>
      <c r="B390" s="16" t="s">
        <v>54</v>
      </c>
      <c r="C390" s="19" t="s">
        <v>258</v>
      </c>
      <c r="D390" s="19"/>
      <c r="E390" s="75" t="s">
        <v>195</v>
      </c>
      <c r="F390" s="82">
        <f>F391</f>
        <v>2611.6</v>
      </c>
      <c r="G390" s="82">
        <f t="shared" si="129"/>
        <v>2611.6</v>
      </c>
      <c r="H390" s="82">
        <f t="shared" si="129"/>
        <v>2611.6</v>
      </c>
    </row>
    <row r="391" spans="1:8" x14ac:dyDescent="0.2">
      <c r="A391" s="16" t="s">
        <v>69</v>
      </c>
      <c r="B391" s="16" t="s">
        <v>54</v>
      </c>
      <c r="C391" s="19" t="s">
        <v>258</v>
      </c>
      <c r="D391" s="19" t="s">
        <v>122</v>
      </c>
      <c r="E391" s="75" t="s">
        <v>121</v>
      </c>
      <c r="F391" s="82">
        <v>2611.6</v>
      </c>
      <c r="G391" s="82">
        <v>2611.6</v>
      </c>
      <c r="H391" s="82">
        <v>2611.6</v>
      </c>
    </row>
    <row r="392" spans="1:8" ht="25.5" x14ac:dyDescent="0.2">
      <c r="A392" s="16" t="s">
        <v>69</v>
      </c>
      <c r="B392" s="16" t="s">
        <v>54</v>
      </c>
      <c r="C392" s="19" t="s">
        <v>322</v>
      </c>
      <c r="D392" s="19"/>
      <c r="E392" s="75" t="s">
        <v>323</v>
      </c>
      <c r="F392" s="82">
        <f>F393</f>
        <v>200</v>
      </c>
      <c r="G392" s="82">
        <f t="shared" ref="G392:H392" si="130">G393</f>
        <v>200</v>
      </c>
      <c r="H392" s="82">
        <f t="shared" si="130"/>
        <v>200</v>
      </c>
    </row>
    <row r="393" spans="1:8" x14ac:dyDescent="0.2">
      <c r="A393" s="16" t="s">
        <v>69</v>
      </c>
      <c r="B393" s="16" t="s">
        <v>54</v>
      </c>
      <c r="C393" s="19" t="s">
        <v>322</v>
      </c>
      <c r="D393" s="19" t="s">
        <v>122</v>
      </c>
      <c r="E393" s="75" t="s">
        <v>121</v>
      </c>
      <c r="F393" s="82">
        <v>200</v>
      </c>
      <c r="G393" s="82">
        <v>200</v>
      </c>
      <c r="H393" s="82">
        <v>200</v>
      </c>
    </row>
    <row r="394" spans="1:8" ht="38.25" x14ac:dyDescent="0.2">
      <c r="A394" s="16" t="s">
        <v>69</v>
      </c>
      <c r="B394" s="16" t="s">
        <v>54</v>
      </c>
      <c r="C394" s="65" t="s">
        <v>22</v>
      </c>
      <c r="D394" s="65"/>
      <c r="E394" s="76" t="s">
        <v>28</v>
      </c>
      <c r="F394" s="182">
        <f>F395</f>
        <v>835</v>
      </c>
      <c r="G394" s="182">
        <f t="shared" ref="G394:H394" si="131">G395</f>
        <v>0</v>
      </c>
      <c r="H394" s="182">
        <f t="shared" si="131"/>
        <v>0</v>
      </c>
    </row>
    <row r="395" spans="1:8" ht="51" x14ac:dyDescent="0.2">
      <c r="A395" s="16" t="s">
        <v>69</v>
      </c>
      <c r="B395" s="16" t="s">
        <v>54</v>
      </c>
      <c r="C395" s="65" t="s">
        <v>599</v>
      </c>
      <c r="D395" s="16"/>
      <c r="E395" s="106" t="s">
        <v>607</v>
      </c>
      <c r="F395" s="182">
        <f>SUM(F396:F396)</f>
        <v>835</v>
      </c>
      <c r="G395" s="182">
        <f>SUM(G396:G396)</f>
        <v>0</v>
      </c>
      <c r="H395" s="182">
        <f>SUM(H396:H396)</f>
        <v>0</v>
      </c>
    </row>
    <row r="396" spans="1:8" x14ac:dyDescent="0.2">
      <c r="A396" s="16" t="s">
        <v>69</v>
      </c>
      <c r="B396" s="16" t="s">
        <v>54</v>
      </c>
      <c r="C396" s="65" t="s">
        <v>599</v>
      </c>
      <c r="D396" s="19" t="s">
        <v>122</v>
      </c>
      <c r="E396" s="75" t="s">
        <v>121</v>
      </c>
      <c r="F396" s="37">
        <v>835</v>
      </c>
      <c r="G396" s="37">
        <v>0</v>
      </c>
      <c r="H396" s="37">
        <v>0</v>
      </c>
    </row>
    <row r="397" spans="1:8" s="18" customFormat="1" ht="15" x14ac:dyDescent="0.25">
      <c r="A397" s="33" t="s">
        <v>69</v>
      </c>
      <c r="B397" s="33" t="s">
        <v>58</v>
      </c>
      <c r="C397" s="33"/>
      <c r="D397" s="33"/>
      <c r="E397" s="40" t="s">
        <v>109</v>
      </c>
      <c r="F397" s="161">
        <f>F398+F424+F435</f>
        <v>105871</v>
      </c>
      <c r="G397" s="161">
        <f t="shared" ref="G397:H397" si="132">G398+G424+G435</f>
        <v>100221.9</v>
      </c>
      <c r="H397" s="161">
        <f t="shared" si="132"/>
        <v>100021.9</v>
      </c>
    </row>
    <row r="398" spans="1:8" s="18" customFormat="1" ht="89.25" x14ac:dyDescent="0.25">
      <c r="A398" s="5" t="s">
        <v>69</v>
      </c>
      <c r="B398" s="5" t="s">
        <v>58</v>
      </c>
      <c r="C398" s="57" t="s">
        <v>46</v>
      </c>
      <c r="D398" s="19"/>
      <c r="E398" s="126" t="s">
        <v>204</v>
      </c>
      <c r="F398" s="164">
        <f>F399+F401+F403+F407+F409+F414+F416+F418+F420+F422+F405</f>
        <v>77850.3</v>
      </c>
      <c r="G398" s="164">
        <f t="shared" ref="G398:H398" si="133">G399+G401+G403+G407+G409+G414+G416+G418+G420+G422+G405</f>
        <v>73563.7</v>
      </c>
      <c r="H398" s="164">
        <f t="shared" si="133"/>
        <v>73363.7</v>
      </c>
    </row>
    <row r="399" spans="1:8" s="18" customFormat="1" ht="39" x14ac:dyDescent="0.25">
      <c r="A399" s="16" t="s">
        <v>69</v>
      </c>
      <c r="B399" s="65" t="s">
        <v>58</v>
      </c>
      <c r="C399" s="50" t="s">
        <v>268</v>
      </c>
      <c r="D399" s="33"/>
      <c r="E399" s="74" t="s">
        <v>267</v>
      </c>
      <c r="F399" s="162">
        <f>F400</f>
        <v>650</v>
      </c>
      <c r="G399" s="162">
        <f t="shared" ref="G399:H399" si="134">G400</f>
        <v>0</v>
      </c>
      <c r="H399" s="162">
        <f t="shared" si="134"/>
        <v>0</v>
      </c>
    </row>
    <row r="400" spans="1:8" s="18" customFormat="1" ht="15" x14ac:dyDescent="0.25">
      <c r="A400" s="16" t="s">
        <v>69</v>
      </c>
      <c r="B400" s="65" t="s">
        <v>58</v>
      </c>
      <c r="C400" s="50" t="s">
        <v>268</v>
      </c>
      <c r="D400" s="19" t="s">
        <v>122</v>
      </c>
      <c r="E400" s="75" t="s">
        <v>121</v>
      </c>
      <c r="F400" s="162">
        <v>650</v>
      </c>
      <c r="G400" s="162">
        <v>0</v>
      </c>
      <c r="H400" s="162">
        <v>0</v>
      </c>
    </row>
    <row r="401" spans="1:8" s="18" customFormat="1" ht="51.75" x14ac:dyDescent="0.25">
      <c r="A401" s="16" t="s">
        <v>69</v>
      </c>
      <c r="B401" s="65" t="s">
        <v>58</v>
      </c>
      <c r="C401" s="50" t="s">
        <v>566</v>
      </c>
      <c r="D401" s="33"/>
      <c r="E401" s="74" t="s">
        <v>567</v>
      </c>
      <c r="F401" s="162">
        <f>F402</f>
        <v>120.8</v>
      </c>
      <c r="G401" s="162">
        <f t="shared" ref="G401:H401" si="135">G402</f>
        <v>0</v>
      </c>
      <c r="H401" s="162">
        <f t="shared" si="135"/>
        <v>0</v>
      </c>
    </row>
    <row r="402" spans="1:8" s="18" customFormat="1" ht="15" x14ac:dyDescent="0.25">
      <c r="A402" s="16" t="s">
        <v>69</v>
      </c>
      <c r="B402" s="65" t="s">
        <v>58</v>
      </c>
      <c r="C402" s="50" t="s">
        <v>566</v>
      </c>
      <c r="D402" s="19" t="s">
        <v>122</v>
      </c>
      <c r="E402" s="75" t="s">
        <v>121</v>
      </c>
      <c r="F402" s="162">
        <v>120.8</v>
      </c>
      <c r="G402" s="162">
        <v>0</v>
      </c>
      <c r="H402" s="162">
        <v>0</v>
      </c>
    </row>
    <row r="403" spans="1:8" s="18" customFormat="1" ht="63.75" x14ac:dyDescent="0.25">
      <c r="A403" s="16" t="s">
        <v>69</v>
      </c>
      <c r="B403" s="65" t="s">
        <v>58</v>
      </c>
      <c r="C403" s="50" t="s">
        <v>270</v>
      </c>
      <c r="D403" s="19"/>
      <c r="E403" s="75" t="s">
        <v>269</v>
      </c>
      <c r="F403" s="162">
        <f>F404</f>
        <v>23519.8</v>
      </c>
      <c r="G403" s="162">
        <f>G404</f>
        <v>23519.8</v>
      </c>
      <c r="H403" s="162">
        <f>H404</f>
        <v>23519.8</v>
      </c>
    </row>
    <row r="404" spans="1:8" s="18" customFormat="1" ht="15" x14ac:dyDescent="0.25">
      <c r="A404" s="16" t="s">
        <v>69</v>
      </c>
      <c r="B404" s="65" t="s">
        <v>58</v>
      </c>
      <c r="C404" s="50" t="s">
        <v>270</v>
      </c>
      <c r="D404" s="19" t="s">
        <v>122</v>
      </c>
      <c r="E404" s="75" t="s">
        <v>121</v>
      </c>
      <c r="F404" s="167">
        <v>23519.8</v>
      </c>
      <c r="G404" s="167">
        <v>23519.8</v>
      </c>
      <c r="H404" s="167">
        <v>23519.8</v>
      </c>
    </row>
    <row r="405" spans="1:8" s="18" customFormat="1" ht="93" customHeight="1" x14ac:dyDescent="0.25">
      <c r="A405" s="16" t="s">
        <v>69</v>
      </c>
      <c r="B405" s="65" t="s">
        <v>58</v>
      </c>
      <c r="C405" s="50" t="s">
        <v>550</v>
      </c>
      <c r="D405" s="19"/>
      <c r="E405" s="75" t="s">
        <v>549</v>
      </c>
      <c r="F405" s="167">
        <f>F406</f>
        <v>556</v>
      </c>
      <c r="G405" s="167">
        <f t="shared" ref="G405:H405" si="136">G406</f>
        <v>0</v>
      </c>
      <c r="H405" s="167">
        <f t="shared" si="136"/>
        <v>0</v>
      </c>
    </row>
    <row r="406" spans="1:8" s="18" customFormat="1" ht="15" x14ac:dyDescent="0.25">
      <c r="A406" s="16" t="s">
        <v>69</v>
      </c>
      <c r="B406" s="65" t="s">
        <v>58</v>
      </c>
      <c r="C406" s="50" t="s">
        <v>550</v>
      </c>
      <c r="D406" s="19" t="s">
        <v>122</v>
      </c>
      <c r="E406" s="75" t="s">
        <v>121</v>
      </c>
      <c r="F406" s="167">
        <f>500+56</f>
        <v>556</v>
      </c>
      <c r="G406" s="167">
        <v>0</v>
      </c>
      <c r="H406" s="167">
        <v>0</v>
      </c>
    </row>
    <row r="407" spans="1:8" s="18" customFormat="1" ht="76.5" x14ac:dyDescent="0.25">
      <c r="A407" s="16" t="s">
        <v>69</v>
      </c>
      <c r="B407" s="65" t="s">
        <v>58</v>
      </c>
      <c r="C407" s="95" t="s">
        <v>273</v>
      </c>
      <c r="D407" s="16"/>
      <c r="E407" s="75" t="s">
        <v>166</v>
      </c>
      <c r="F407" s="162">
        <f>F408</f>
        <v>39737.800000000003</v>
      </c>
      <c r="G407" s="162">
        <f>SUM(G408:G408)</f>
        <v>48296.9</v>
      </c>
      <c r="H407" s="162">
        <f>SUM(H408:H408)</f>
        <v>48296.9</v>
      </c>
    </row>
    <row r="408" spans="1:8" s="18" customFormat="1" ht="15" x14ac:dyDescent="0.25">
      <c r="A408" s="16" t="s">
        <v>69</v>
      </c>
      <c r="B408" s="65" t="s">
        <v>58</v>
      </c>
      <c r="C408" s="95" t="s">
        <v>273</v>
      </c>
      <c r="D408" s="19" t="s">
        <v>122</v>
      </c>
      <c r="E408" s="75" t="s">
        <v>121</v>
      </c>
      <c r="F408" s="162">
        <f>48296.9-8559.1</f>
        <v>39737.800000000003</v>
      </c>
      <c r="G408" s="162">
        <v>48296.9</v>
      </c>
      <c r="H408" s="162">
        <v>48296.9</v>
      </c>
    </row>
    <row r="409" spans="1:8" s="18" customFormat="1" ht="51" x14ac:dyDescent="0.25">
      <c r="A409" s="16" t="s">
        <v>69</v>
      </c>
      <c r="B409" s="65" t="s">
        <v>58</v>
      </c>
      <c r="C409" s="132" t="s">
        <v>275</v>
      </c>
      <c r="D409" s="19"/>
      <c r="E409" s="47" t="s">
        <v>274</v>
      </c>
      <c r="F409" s="162">
        <f>SUM(F410:F413)</f>
        <v>8559.1000000000022</v>
      </c>
      <c r="G409" s="162">
        <f t="shared" ref="G409:H409" si="137">G410</f>
        <v>0</v>
      </c>
      <c r="H409" s="162">
        <f t="shared" si="137"/>
        <v>0</v>
      </c>
    </row>
    <row r="410" spans="1:8" s="18" customFormat="1" ht="15" x14ac:dyDescent="0.25">
      <c r="A410" s="16" t="s">
        <v>69</v>
      </c>
      <c r="B410" s="65" t="s">
        <v>58</v>
      </c>
      <c r="C410" s="133" t="s">
        <v>275</v>
      </c>
      <c r="D410" s="19" t="s">
        <v>122</v>
      </c>
      <c r="E410" s="75" t="s">
        <v>121</v>
      </c>
      <c r="F410" s="162">
        <v>8429.5</v>
      </c>
      <c r="G410" s="162">
        <v>0</v>
      </c>
      <c r="H410" s="162">
        <v>0</v>
      </c>
    </row>
    <row r="411" spans="1:8" s="18" customFormat="1" ht="15" x14ac:dyDescent="0.25">
      <c r="A411" s="16" t="s">
        <v>69</v>
      </c>
      <c r="B411" s="65" t="s">
        <v>58</v>
      </c>
      <c r="C411" s="132" t="s">
        <v>275</v>
      </c>
      <c r="D411" s="19" t="s">
        <v>558</v>
      </c>
      <c r="E411" s="176" t="s">
        <v>557</v>
      </c>
      <c r="F411" s="162">
        <v>43.2</v>
      </c>
      <c r="G411" s="162">
        <v>0</v>
      </c>
      <c r="H411" s="162">
        <v>0</v>
      </c>
    </row>
    <row r="412" spans="1:8" s="18" customFormat="1" ht="77.25" x14ac:dyDescent="0.25">
      <c r="A412" s="16" t="s">
        <v>69</v>
      </c>
      <c r="B412" s="65" t="s">
        <v>58</v>
      </c>
      <c r="C412" s="133" t="s">
        <v>275</v>
      </c>
      <c r="D412" s="19" t="s">
        <v>17</v>
      </c>
      <c r="E412" s="94" t="s">
        <v>151</v>
      </c>
      <c r="F412" s="162">
        <v>43.2</v>
      </c>
      <c r="G412" s="162">
        <v>0</v>
      </c>
      <c r="H412" s="162">
        <v>0</v>
      </c>
    </row>
    <row r="413" spans="1:8" s="18" customFormat="1" ht="64.5" x14ac:dyDescent="0.25">
      <c r="A413" s="16" t="s">
        <v>69</v>
      </c>
      <c r="B413" s="65" t="s">
        <v>58</v>
      </c>
      <c r="C413" s="133" t="s">
        <v>275</v>
      </c>
      <c r="D413" s="19" t="s">
        <v>10</v>
      </c>
      <c r="E413" s="94" t="s">
        <v>154</v>
      </c>
      <c r="F413" s="162">
        <v>43.2</v>
      </c>
      <c r="G413" s="162">
        <v>0</v>
      </c>
      <c r="H413" s="162">
        <v>0</v>
      </c>
    </row>
    <row r="414" spans="1:8" s="18" customFormat="1" ht="51.75" customHeight="1" x14ac:dyDescent="0.25">
      <c r="A414" s="16" t="s">
        <v>69</v>
      </c>
      <c r="B414" s="65" t="s">
        <v>58</v>
      </c>
      <c r="C414" s="145" t="s">
        <v>402</v>
      </c>
      <c r="D414" s="19"/>
      <c r="E414" s="47" t="s">
        <v>403</v>
      </c>
      <c r="F414" s="162">
        <f>F415</f>
        <v>3159.8</v>
      </c>
      <c r="G414" s="162">
        <f t="shared" ref="G414:H414" si="138">G415</f>
        <v>200</v>
      </c>
      <c r="H414" s="162">
        <f t="shared" si="138"/>
        <v>0</v>
      </c>
    </row>
    <row r="415" spans="1:8" s="18" customFormat="1" ht="15" x14ac:dyDescent="0.25">
      <c r="A415" s="16" t="s">
        <v>69</v>
      </c>
      <c r="B415" s="65" t="s">
        <v>58</v>
      </c>
      <c r="C415" s="145" t="s">
        <v>402</v>
      </c>
      <c r="D415" s="19" t="s">
        <v>122</v>
      </c>
      <c r="E415" s="75" t="s">
        <v>121</v>
      </c>
      <c r="F415" s="162">
        <v>3159.8</v>
      </c>
      <c r="G415" s="162">
        <v>200</v>
      </c>
      <c r="H415" s="162">
        <v>0</v>
      </c>
    </row>
    <row r="416" spans="1:8" s="18" customFormat="1" ht="51.75" x14ac:dyDescent="0.25">
      <c r="A416" s="16" t="s">
        <v>69</v>
      </c>
      <c r="B416" s="65" t="s">
        <v>58</v>
      </c>
      <c r="C416" s="50" t="s">
        <v>276</v>
      </c>
      <c r="D416" s="19"/>
      <c r="E416" s="79" t="s">
        <v>167</v>
      </c>
      <c r="F416" s="162">
        <f>F417</f>
        <v>795</v>
      </c>
      <c r="G416" s="162">
        <f t="shared" ref="G416:H416" si="139">G417</f>
        <v>795</v>
      </c>
      <c r="H416" s="162">
        <f t="shared" si="139"/>
        <v>795</v>
      </c>
    </row>
    <row r="417" spans="1:8" s="18" customFormat="1" ht="15" x14ac:dyDescent="0.25">
      <c r="A417" s="16" t="s">
        <v>69</v>
      </c>
      <c r="B417" s="65" t="s">
        <v>58</v>
      </c>
      <c r="C417" s="50" t="s">
        <v>276</v>
      </c>
      <c r="D417" s="19" t="s">
        <v>122</v>
      </c>
      <c r="E417" s="75" t="s">
        <v>121</v>
      </c>
      <c r="F417" s="162">
        <v>795</v>
      </c>
      <c r="G417" s="162">
        <v>795</v>
      </c>
      <c r="H417" s="162">
        <v>795</v>
      </c>
    </row>
    <row r="418" spans="1:8" s="18" customFormat="1" ht="38.25" x14ac:dyDescent="0.25">
      <c r="A418" s="16" t="s">
        <v>69</v>
      </c>
      <c r="B418" s="65" t="s">
        <v>58</v>
      </c>
      <c r="C418" s="50" t="s">
        <v>277</v>
      </c>
      <c r="D418" s="19"/>
      <c r="E418" s="75" t="s">
        <v>114</v>
      </c>
      <c r="F418" s="82">
        <f>F419</f>
        <v>250</v>
      </c>
      <c r="G418" s="82">
        <f t="shared" ref="G418:H418" si="140">G419</f>
        <v>250</v>
      </c>
      <c r="H418" s="82">
        <f t="shared" si="140"/>
        <v>250</v>
      </c>
    </row>
    <row r="419" spans="1:8" s="18" customFormat="1" ht="15" x14ac:dyDescent="0.25">
      <c r="A419" s="16" t="s">
        <v>69</v>
      </c>
      <c r="B419" s="65" t="s">
        <v>58</v>
      </c>
      <c r="C419" s="50" t="s">
        <v>277</v>
      </c>
      <c r="D419" s="19" t="s">
        <v>122</v>
      </c>
      <c r="E419" s="75" t="s">
        <v>121</v>
      </c>
      <c r="F419" s="82">
        <v>250</v>
      </c>
      <c r="G419" s="82">
        <v>250</v>
      </c>
      <c r="H419" s="82">
        <v>250</v>
      </c>
    </row>
    <row r="420" spans="1:8" s="18" customFormat="1" ht="38.25" x14ac:dyDescent="0.25">
      <c r="A420" s="16" t="s">
        <v>69</v>
      </c>
      <c r="B420" s="65" t="s">
        <v>58</v>
      </c>
      <c r="C420" s="50" t="s">
        <v>278</v>
      </c>
      <c r="D420" s="19"/>
      <c r="E420" s="75" t="s">
        <v>168</v>
      </c>
      <c r="F420" s="82">
        <f>F421</f>
        <v>250</v>
      </c>
      <c r="G420" s="82">
        <f t="shared" ref="G420:H420" si="141">G421</f>
        <v>250</v>
      </c>
      <c r="H420" s="82">
        <f t="shared" si="141"/>
        <v>250</v>
      </c>
    </row>
    <row r="421" spans="1:8" s="18" customFormat="1" ht="15" x14ac:dyDescent="0.25">
      <c r="A421" s="16" t="s">
        <v>69</v>
      </c>
      <c r="B421" s="65" t="s">
        <v>58</v>
      </c>
      <c r="C421" s="50" t="s">
        <v>278</v>
      </c>
      <c r="D421" s="19" t="s">
        <v>122</v>
      </c>
      <c r="E421" s="75" t="s">
        <v>121</v>
      </c>
      <c r="F421" s="82">
        <v>250</v>
      </c>
      <c r="G421" s="82">
        <v>250</v>
      </c>
      <c r="H421" s="82">
        <v>250</v>
      </c>
    </row>
    <row r="422" spans="1:8" s="18" customFormat="1" ht="76.5" x14ac:dyDescent="0.25">
      <c r="A422" s="16" t="s">
        <v>69</v>
      </c>
      <c r="B422" s="65" t="s">
        <v>58</v>
      </c>
      <c r="C422" s="50" t="s">
        <v>280</v>
      </c>
      <c r="D422" s="16"/>
      <c r="E422" s="75" t="s">
        <v>170</v>
      </c>
      <c r="F422" s="82">
        <f>F423</f>
        <v>252</v>
      </c>
      <c r="G422" s="82">
        <f>G423</f>
        <v>252</v>
      </c>
      <c r="H422" s="82">
        <f>H423</f>
        <v>252</v>
      </c>
    </row>
    <row r="423" spans="1:8" s="34" customFormat="1" x14ac:dyDescent="0.2">
      <c r="A423" s="16" t="s">
        <v>69</v>
      </c>
      <c r="B423" s="65" t="s">
        <v>58</v>
      </c>
      <c r="C423" s="50" t="s">
        <v>280</v>
      </c>
      <c r="D423" s="19" t="s">
        <v>122</v>
      </c>
      <c r="E423" s="75" t="s">
        <v>121</v>
      </c>
      <c r="F423" s="82">
        <v>252</v>
      </c>
      <c r="G423" s="82">
        <v>252</v>
      </c>
      <c r="H423" s="82">
        <v>252</v>
      </c>
    </row>
    <row r="424" spans="1:8" s="34" customFormat="1" ht="128.25" x14ac:dyDescent="0.25">
      <c r="A424" s="16" t="s">
        <v>69</v>
      </c>
      <c r="B424" s="65" t="s">
        <v>58</v>
      </c>
      <c r="C424" s="57" t="s">
        <v>38</v>
      </c>
      <c r="D424" s="33"/>
      <c r="E424" s="140" t="s">
        <v>205</v>
      </c>
      <c r="F424" s="166">
        <f>F425+F427+F429+F431+F433</f>
        <v>27570.7</v>
      </c>
      <c r="G424" s="166">
        <f t="shared" ref="G424:H424" si="142">G425+G427+G429+G431+G433</f>
        <v>26658.2</v>
      </c>
      <c r="H424" s="166">
        <f t="shared" si="142"/>
        <v>26658.2</v>
      </c>
    </row>
    <row r="425" spans="1:8" s="34" customFormat="1" ht="37.5" customHeight="1" x14ac:dyDescent="0.2">
      <c r="A425" s="16" t="s">
        <v>69</v>
      </c>
      <c r="B425" s="65" t="s">
        <v>58</v>
      </c>
      <c r="C425" s="58" t="s">
        <v>561</v>
      </c>
      <c r="D425" s="33"/>
      <c r="E425" s="128" t="s">
        <v>568</v>
      </c>
      <c r="F425" s="162">
        <f>F426</f>
        <v>272.5</v>
      </c>
      <c r="G425" s="168">
        <f t="shared" ref="G425:H425" si="143">G426</f>
        <v>0</v>
      </c>
      <c r="H425" s="168">
        <f t="shared" si="143"/>
        <v>0</v>
      </c>
    </row>
    <row r="426" spans="1:8" s="34" customFormat="1" ht="14.25" x14ac:dyDescent="0.2">
      <c r="A426" s="16" t="s">
        <v>69</v>
      </c>
      <c r="B426" s="65" t="s">
        <v>58</v>
      </c>
      <c r="C426" s="58" t="s">
        <v>561</v>
      </c>
      <c r="D426" s="19" t="s">
        <v>122</v>
      </c>
      <c r="E426" s="75" t="s">
        <v>121</v>
      </c>
      <c r="F426" s="162">
        <f>27.2+245.3</f>
        <v>272.5</v>
      </c>
      <c r="G426" s="168">
        <v>0</v>
      </c>
      <c r="H426" s="168">
        <v>0</v>
      </c>
    </row>
    <row r="427" spans="1:8" s="34" customFormat="1" ht="51" x14ac:dyDescent="0.2">
      <c r="A427" s="16" t="s">
        <v>69</v>
      </c>
      <c r="B427" s="65" t="s">
        <v>58</v>
      </c>
      <c r="C427" s="58" t="s">
        <v>462</v>
      </c>
      <c r="D427" s="19"/>
      <c r="E427" s="75" t="s">
        <v>461</v>
      </c>
      <c r="F427" s="113">
        <f>F428</f>
        <v>10558.2</v>
      </c>
      <c r="G427" s="113">
        <f>G428</f>
        <v>10558.2</v>
      </c>
      <c r="H427" s="113">
        <f>H428</f>
        <v>10558.2</v>
      </c>
    </row>
    <row r="428" spans="1:8" s="34" customFormat="1" x14ac:dyDescent="0.2">
      <c r="A428" s="16" t="s">
        <v>69</v>
      </c>
      <c r="B428" s="65" t="s">
        <v>58</v>
      </c>
      <c r="C428" s="58" t="s">
        <v>462</v>
      </c>
      <c r="D428" s="19" t="s">
        <v>122</v>
      </c>
      <c r="E428" s="75" t="s">
        <v>121</v>
      </c>
      <c r="F428" s="167">
        <v>10558.2</v>
      </c>
      <c r="G428" s="167">
        <v>10558.2</v>
      </c>
      <c r="H428" s="167">
        <v>10558.2</v>
      </c>
    </row>
    <row r="429" spans="1:8" s="34" customFormat="1" ht="24" customHeight="1" x14ac:dyDescent="0.2">
      <c r="A429" s="16" t="s">
        <v>69</v>
      </c>
      <c r="B429" s="65" t="s">
        <v>58</v>
      </c>
      <c r="C429" s="58">
        <v>250221100</v>
      </c>
      <c r="D429" s="16"/>
      <c r="E429" s="76" t="s">
        <v>111</v>
      </c>
      <c r="F429" s="113">
        <f>F430</f>
        <v>16100</v>
      </c>
      <c r="G429" s="113">
        <f>G430</f>
        <v>16100</v>
      </c>
      <c r="H429" s="113">
        <f>H430</f>
        <v>16100</v>
      </c>
    </row>
    <row r="430" spans="1:8" s="34" customFormat="1" x14ac:dyDescent="0.2">
      <c r="A430" s="16" t="s">
        <v>69</v>
      </c>
      <c r="B430" s="65" t="s">
        <v>58</v>
      </c>
      <c r="C430" s="58">
        <v>250221100</v>
      </c>
      <c r="D430" s="19" t="s">
        <v>122</v>
      </c>
      <c r="E430" s="75" t="s">
        <v>121</v>
      </c>
      <c r="F430" s="113">
        <v>16100</v>
      </c>
      <c r="G430" s="113">
        <v>16100</v>
      </c>
      <c r="H430" s="113">
        <v>16100</v>
      </c>
    </row>
    <row r="431" spans="1:8" s="34" customFormat="1" ht="66" customHeight="1" x14ac:dyDescent="0.2">
      <c r="A431" s="16" t="s">
        <v>69</v>
      </c>
      <c r="B431" s="65" t="s">
        <v>58</v>
      </c>
      <c r="C431" s="96" t="s">
        <v>465</v>
      </c>
      <c r="D431" s="19"/>
      <c r="E431" s="47" t="s">
        <v>201</v>
      </c>
      <c r="F431" s="113">
        <f>F432</f>
        <v>580</v>
      </c>
      <c r="G431" s="113">
        <f t="shared" ref="G431:H431" si="144">G432</f>
        <v>0</v>
      </c>
      <c r="H431" s="113">
        <f t="shared" si="144"/>
        <v>0</v>
      </c>
    </row>
    <row r="432" spans="1:8" s="34" customFormat="1" x14ac:dyDescent="0.2">
      <c r="A432" s="16" t="s">
        <v>69</v>
      </c>
      <c r="B432" s="65" t="s">
        <v>58</v>
      </c>
      <c r="C432" s="96" t="s">
        <v>465</v>
      </c>
      <c r="D432" s="19" t="s">
        <v>122</v>
      </c>
      <c r="E432" s="75" t="s">
        <v>121</v>
      </c>
      <c r="F432" s="113">
        <v>580</v>
      </c>
      <c r="G432" s="113">
        <v>0</v>
      </c>
      <c r="H432" s="113">
        <v>0</v>
      </c>
    </row>
    <row r="433" spans="1:8" s="34" customFormat="1" ht="54" customHeight="1" x14ac:dyDescent="0.25">
      <c r="A433" s="16" t="s">
        <v>69</v>
      </c>
      <c r="B433" s="65" t="s">
        <v>58</v>
      </c>
      <c r="C433" s="175" t="s">
        <v>555</v>
      </c>
      <c r="D433" s="19"/>
      <c r="E433" s="75" t="s">
        <v>552</v>
      </c>
      <c r="F433" s="113">
        <f>F434</f>
        <v>60</v>
      </c>
      <c r="G433" s="113">
        <f t="shared" ref="G433:H433" si="145">G434</f>
        <v>0</v>
      </c>
      <c r="H433" s="113">
        <f t="shared" si="145"/>
        <v>0</v>
      </c>
    </row>
    <row r="434" spans="1:8" s="34" customFormat="1" ht="15.75" x14ac:dyDescent="0.25">
      <c r="A434" s="16" t="s">
        <v>69</v>
      </c>
      <c r="B434" s="65" t="s">
        <v>58</v>
      </c>
      <c r="C434" s="175" t="s">
        <v>555</v>
      </c>
      <c r="D434" s="19" t="s">
        <v>122</v>
      </c>
      <c r="E434" s="75" t="s">
        <v>121</v>
      </c>
      <c r="F434" s="113">
        <v>60</v>
      </c>
      <c r="G434" s="113">
        <v>0</v>
      </c>
      <c r="H434" s="113">
        <v>0</v>
      </c>
    </row>
    <row r="435" spans="1:8" s="34" customFormat="1" ht="38.25" x14ac:dyDescent="0.2">
      <c r="A435" s="41" t="s">
        <v>69</v>
      </c>
      <c r="B435" s="41" t="s">
        <v>58</v>
      </c>
      <c r="C435" s="65" t="s">
        <v>22</v>
      </c>
      <c r="D435" s="65"/>
      <c r="E435" s="76" t="s">
        <v>28</v>
      </c>
      <c r="F435" s="182">
        <f>F436</f>
        <v>450</v>
      </c>
      <c r="G435" s="182">
        <f t="shared" ref="G435:H435" si="146">G436</f>
        <v>0</v>
      </c>
      <c r="H435" s="182">
        <f t="shared" si="146"/>
        <v>0</v>
      </c>
    </row>
    <row r="436" spans="1:8" s="34" customFormat="1" ht="51" x14ac:dyDescent="0.2">
      <c r="A436" s="16" t="s">
        <v>69</v>
      </c>
      <c r="B436" s="65" t="s">
        <v>58</v>
      </c>
      <c r="C436" s="65" t="s">
        <v>599</v>
      </c>
      <c r="D436" s="16"/>
      <c r="E436" s="106" t="s">
        <v>607</v>
      </c>
      <c r="F436" s="182">
        <f>SUM(F437:F437)</f>
        <v>450</v>
      </c>
      <c r="G436" s="182">
        <f>SUM(G437:G437)</f>
        <v>0</v>
      </c>
      <c r="H436" s="182">
        <f>SUM(H437:H437)</f>
        <v>0</v>
      </c>
    </row>
    <row r="437" spans="1:8" s="34" customFormat="1" x14ac:dyDescent="0.2">
      <c r="A437" s="16" t="s">
        <v>69</v>
      </c>
      <c r="B437" s="65" t="s">
        <v>58</v>
      </c>
      <c r="C437" s="65" t="s">
        <v>599</v>
      </c>
      <c r="D437" s="19" t="s">
        <v>122</v>
      </c>
      <c r="E437" s="75" t="s">
        <v>121</v>
      </c>
      <c r="F437" s="37">
        <v>450</v>
      </c>
      <c r="G437" s="37">
        <v>0</v>
      </c>
      <c r="H437" s="37">
        <v>0</v>
      </c>
    </row>
    <row r="438" spans="1:8" s="35" customFormat="1" ht="38.25" x14ac:dyDescent="0.2">
      <c r="A438" s="33" t="s">
        <v>69</v>
      </c>
      <c r="B438" s="33" t="s">
        <v>60</v>
      </c>
      <c r="C438" s="33"/>
      <c r="D438" s="33"/>
      <c r="E438" s="40" t="s">
        <v>1</v>
      </c>
      <c r="F438" s="161">
        <f>F439</f>
        <v>250.1</v>
      </c>
      <c r="G438" s="161">
        <f>G439</f>
        <v>250.1</v>
      </c>
      <c r="H438" s="161">
        <f>H439</f>
        <v>250.1</v>
      </c>
    </row>
    <row r="439" spans="1:8" s="35" customFormat="1" ht="89.25" x14ac:dyDescent="0.2">
      <c r="A439" s="16" t="s">
        <v>69</v>
      </c>
      <c r="B439" s="16" t="s">
        <v>60</v>
      </c>
      <c r="C439" s="57" t="s">
        <v>46</v>
      </c>
      <c r="D439" s="33"/>
      <c r="E439" s="126" t="s">
        <v>204</v>
      </c>
      <c r="F439" s="164">
        <f t="shared" ref="F439:H439" si="147">F440</f>
        <v>250.1</v>
      </c>
      <c r="G439" s="164">
        <f t="shared" si="147"/>
        <v>250.1</v>
      </c>
      <c r="H439" s="164">
        <f t="shared" si="147"/>
        <v>250.1</v>
      </c>
    </row>
    <row r="440" spans="1:8" s="35" customFormat="1" ht="41.25" customHeight="1" x14ac:dyDescent="0.25">
      <c r="A440" s="16" t="s">
        <v>69</v>
      </c>
      <c r="B440" s="16" t="s">
        <v>60</v>
      </c>
      <c r="C440" s="46" t="s">
        <v>279</v>
      </c>
      <c r="D440" s="33"/>
      <c r="E440" s="125" t="s">
        <v>281</v>
      </c>
      <c r="F440" s="163">
        <f t="shared" ref="F440:H441" si="148">F441</f>
        <v>250.1</v>
      </c>
      <c r="G440" s="163">
        <f t="shared" si="148"/>
        <v>250.1</v>
      </c>
      <c r="H440" s="163">
        <f t="shared" si="148"/>
        <v>250.1</v>
      </c>
    </row>
    <row r="441" spans="1:8" s="35" customFormat="1" ht="38.25" x14ac:dyDescent="0.2">
      <c r="A441" s="16" t="s">
        <v>69</v>
      </c>
      <c r="B441" s="16" t="s">
        <v>60</v>
      </c>
      <c r="C441" s="50" t="s">
        <v>282</v>
      </c>
      <c r="D441" s="16"/>
      <c r="E441" s="75" t="s">
        <v>33</v>
      </c>
      <c r="F441" s="82">
        <f t="shared" si="148"/>
        <v>250.1</v>
      </c>
      <c r="G441" s="82">
        <f t="shared" si="148"/>
        <v>250.1</v>
      </c>
      <c r="H441" s="82">
        <f t="shared" si="148"/>
        <v>250.1</v>
      </c>
    </row>
    <row r="442" spans="1:8" s="35" customFormat="1" ht="14.25" x14ac:dyDescent="0.2">
      <c r="A442" s="16" t="s">
        <v>69</v>
      </c>
      <c r="B442" s="16" t="s">
        <v>60</v>
      </c>
      <c r="C442" s="50" t="s">
        <v>282</v>
      </c>
      <c r="D442" s="19" t="s">
        <v>122</v>
      </c>
      <c r="E442" s="75" t="s">
        <v>121</v>
      </c>
      <c r="F442" s="162">
        <f>250+0.1</f>
        <v>250.1</v>
      </c>
      <c r="G442" s="162">
        <f t="shared" ref="G442:H442" si="149">250+0.1</f>
        <v>250.1</v>
      </c>
      <c r="H442" s="162">
        <f t="shared" si="149"/>
        <v>250.1</v>
      </c>
    </row>
    <row r="443" spans="1:8" s="35" customFormat="1" ht="14.25" x14ac:dyDescent="0.2">
      <c r="A443" s="33" t="s">
        <v>69</v>
      </c>
      <c r="B443" s="33" t="s">
        <v>69</v>
      </c>
      <c r="C443" s="33"/>
      <c r="D443" s="33"/>
      <c r="E443" s="40" t="s">
        <v>108</v>
      </c>
      <c r="F443" s="161">
        <f>F444+F453</f>
        <v>23604.999999999996</v>
      </c>
      <c r="G443" s="161">
        <f t="shared" ref="G443:H443" si="150">G444+G453</f>
        <v>21181.899999999998</v>
      </c>
      <c r="H443" s="161">
        <f t="shared" si="150"/>
        <v>21181.899999999998</v>
      </c>
    </row>
    <row r="444" spans="1:8" s="35" customFormat="1" ht="88.5" customHeight="1" x14ac:dyDescent="0.25">
      <c r="A444" s="5" t="s">
        <v>69</v>
      </c>
      <c r="B444" s="5" t="s">
        <v>69</v>
      </c>
      <c r="C444" s="57" t="s">
        <v>38</v>
      </c>
      <c r="D444" s="33"/>
      <c r="E444" s="115" t="s">
        <v>205</v>
      </c>
      <c r="F444" s="166">
        <f>F445+F447+F449+F451</f>
        <v>23502.999999999996</v>
      </c>
      <c r="G444" s="166">
        <f>G445+G447+G449+G451</f>
        <v>21079.899999999998</v>
      </c>
      <c r="H444" s="166">
        <f>H445+H447+H449+H451</f>
        <v>21079.899999999998</v>
      </c>
    </row>
    <row r="445" spans="1:8" s="35" customFormat="1" ht="25.5" x14ac:dyDescent="0.2">
      <c r="A445" s="16" t="s">
        <v>69</v>
      </c>
      <c r="B445" s="16" t="s">
        <v>69</v>
      </c>
      <c r="C445" s="97" t="s">
        <v>473</v>
      </c>
      <c r="D445" s="16"/>
      <c r="E445" s="75" t="s">
        <v>112</v>
      </c>
      <c r="F445" s="82">
        <f>F446</f>
        <v>475.3</v>
      </c>
      <c r="G445" s="82">
        <f>G446</f>
        <v>475.3</v>
      </c>
      <c r="H445" s="82">
        <f>H446</f>
        <v>475.3</v>
      </c>
    </row>
    <row r="446" spans="1:8" s="35" customFormat="1" ht="38.25" x14ac:dyDescent="0.2">
      <c r="A446" s="16" t="s">
        <v>69</v>
      </c>
      <c r="B446" s="16" t="s">
        <v>69</v>
      </c>
      <c r="C446" s="97" t="s">
        <v>473</v>
      </c>
      <c r="D446" s="65" t="s">
        <v>119</v>
      </c>
      <c r="E446" s="75" t="s">
        <v>120</v>
      </c>
      <c r="F446" s="82">
        <v>475.3</v>
      </c>
      <c r="G446" s="82">
        <v>475.3</v>
      </c>
      <c r="H446" s="82">
        <v>475.3</v>
      </c>
    </row>
    <row r="447" spans="1:8" s="35" customFormat="1" ht="39.75" customHeight="1" x14ac:dyDescent="0.2">
      <c r="A447" s="16" t="s">
        <v>69</v>
      </c>
      <c r="B447" s="16" t="s">
        <v>69</v>
      </c>
      <c r="C447" s="58">
        <v>250421100</v>
      </c>
      <c r="D447" s="16"/>
      <c r="E447" s="75" t="s">
        <v>474</v>
      </c>
      <c r="F447" s="82">
        <f t="shared" ref="F447:H447" si="151">F448</f>
        <v>20604.599999999999</v>
      </c>
      <c r="G447" s="82">
        <f t="shared" si="151"/>
        <v>20604.599999999999</v>
      </c>
      <c r="H447" s="82">
        <f t="shared" si="151"/>
        <v>20604.599999999999</v>
      </c>
    </row>
    <row r="448" spans="1:8" s="35" customFormat="1" ht="14.25" x14ac:dyDescent="0.2">
      <c r="A448" s="16" t="s">
        <v>69</v>
      </c>
      <c r="B448" s="16" t="s">
        <v>69</v>
      </c>
      <c r="C448" s="58">
        <v>250421100</v>
      </c>
      <c r="D448" s="65" t="s">
        <v>122</v>
      </c>
      <c r="E448" s="75" t="s">
        <v>121</v>
      </c>
      <c r="F448" s="82">
        <v>20604.599999999999</v>
      </c>
      <c r="G448" s="82">
        <v>20604.599999999999</v>
      </c>
      <c r="H448" s="82">
        <v>20604.599999999999</v>
      </c>
    </row>
    <row r="449" spans="1:8" s="35" customFormat="1" ht="52.5" customHeight="1" x14ac:dyDescent="0.2">
      <c r="A449" s="16" t="s">
        <v>69</v>
      </c>
      <c r="B449" s="16" t="s">
        <v>69</v>
      </c>
      <c r="C449" s="58">
        <v>250421210</v>
      </c>
      <c r="D449" s="65"/>
      <c r="E449" s="75" t="s">
        <v>475</v>
      </c>
      <c r="F449" s="82">
        <f t="shared" ref="F449:H449" si="152">F450</f>
        <v>1923.1</v>
      </c>
      <c r="G449" s="82">
        <f t="shared" si="152"/>
        <v>0</v>
      </c>
      <c r="H449" s="82">
        <f t="shared" si="152"/>
        <v>0</v>
      </c>
    </row>
    <row r="450" spans="1:8" x14ac:dyDescent="0.2">
      <c r="A450" s="65" t="s">
        <v>69</v>
      </c>
      <c r="B450" s="65" t="s">
        <v>69</v>
      </c>
      <c r="C450" s="58">
        <v>250421210</v>
      </c>
      <c r="D450" s="19" t="s">
        <v>122</v>
      </c>
      <c r="E450" s="75" t="s">
        <v>121</v>
      </c>
      <c r="F450" s="82">
        <v>1923.1</v>
      </c>
      <c r="G450" s="82">
        <v>0</v>
      </c>
      <c r="H450" s="82">
        <v>0</v>
      </c>
    </row>
    <row r="451" spans="1:8" ht="51" x14ac:dyDescent="0.2">
      <c r="A451" s="16" t="s">
        <v>69</v>
      </c>
      <c r="B451" s="16" t="s">
        <v>69</v>
      </c>
      <c r="C451" s="58">
        <v>250421220</v>
      </c>
      <c r="D451" s="19"/>
      <c r="E451" s="75" t="s">
        <v>476</v>
      </c>
      <c r="F451" s="82">
        <f>F452</f>
        <v>500</v>
      </c>
      <c r="G451" s="82">
        <f t="shared" ref="G451:H451" si="153">G452</f>
        <v>0</v>
      </c>
      <c r="H451" s="82">
        <f t="shared" si="153"/>
        <v>0</v>
      </c>
    </row>
    <row r="452" spans="1:8" x14ac:dyDescent="0.2">
      <c r="A452" s="65" t="s">
        <v>69</v>
      </c>
      <c r="B452" s="65" t="s">
        <v>69</v>
      </c>
      <c r="C452" s="58">
        <v>250421220</v>
      </c>
      <c r="D452" s="19" t="s">
        <v>122</v>
      </c>
      <c r="E452" s="75" t="s">
        <v>121</v>
      </c>
      <c r="F452" s="82">
        <v>500</v>
      </c>
      <c r="G452" s="82">
        <v>0</v>
      </c>
      <c r="H452" s="82">
        <v>0</v>
      </c>
    </row>
    <row r="453" spans="1:8" ht="102" x14ac:dyDescent="0.2">
      <c r="A453" s="5" t="s">
        <v>69</v>
      </c>
      <c r="B453" s="5" t="s">
        <v>69</v>
      </c>
      <c r="C453" s="57" t="s">
        <v>106</v>
      </c>
      <c r="D453" s="16"/>
      <c r="E453" s="126" t="s">
        <v>211</v>
      </c>
      <c r="F453" s="86">
        <f>F454+F456+F458</f>
        <v>102</v>
      </c>
      <c r="G453" s="86">
        <f t="shared" ref="G453:H453" si="154">G454+G456+G458</f>
        <v>102</v>
      </c>
      <c r="H453" s="86">
        <f t="shared" si="154"/>
        <v>102</v>
      </c>
    </row>
    <row r="454" spans="1:8" ht="38.25" x14ac:dyDescent="0.25">
      <c r="A454" s="16" t="s">
        <v>69</v>
      </c>
      <c r="B454" s="16" t="s">
        <v>69</v>
      </c>
      <c r="C454" s="134" t="s">
        <v>308</v>
      </c>
      <c r="D454" s="16"/>
      <c r="E454" s="75" t="s">
        <v>309</v>
      </c>
      <c r="F454" s="82">
        <f>F455</f>
        <v>7</v>
      </c>
      <c r="G454" s="82">
        <f>G455</f>
        <v>7</v>
      </c>
      <c r="H454" s="82">
        <f>H455</f>
        <v>7</v>
      </c>
    </row>
    <row r="455" spans="1:8" ht="38.25" x14ac:dyDescent="0.25">
      <c r="A455" s="16" t="s">
        <v>69</v>
      </c>
      <c r="B455" s="16" t="s">
        <v>69</v>
      </c>
      <c r="C455" s="134" t="s">
        <v>308</v>
      </c>
      <c r="D455" s="65" t="s">
        <v>119</v>
      </c>
      <c r="E455" s="75" t="s">
        <v>120</v>
      </c>
      <c r="F455" s="82">
        <v>7</v>
      </c>
      <c r="G455" s="82">
        <v>7</v>
      </c>
      <c r="H455" s="82">
        <v>7</v>
      </c>
    </row>
    <row r="456" spans="1:8" x14ac:dyDescent="0.2">
      <c r="A456" s="16" t="s">
        <v>69</v>
      </c>
      <c r="B456" s="16" t="s">
        <v>69</v>
      </c>
      <c r="C456" s="58">
        <v>850123270</v>
      </c>
      <c r="D456" s="16"/>
      <c r="E456" s="75" t="s">
        <v>113</v>
      </c>
      <c r="F456" s="82">
        <f>F457</f>
        <v>45</v>
      </c>
      <c r="G456" s="82">
        <f>G457</f>
        <v>45</v>
      </c>
      <c r="H456" s="82">
        <f>H457</f>
        <v>45</v>
      </c>
    </row>
    <row r="457" spans="1:8" ht="38.25" x14ac:dyDescent="0.2">
      <c r="A457" s="16" t="s">
        <v>69</v>
      </c>
      <c r="B457" s="16" t="s">
        <v>69</v>
      </c>
      <c r="C457" s="58">
        <v>850123270</v>
      </c>
      <c r="D457" s="65" t="s">
        <v>119</v>
      </c>
      <c r="E457" s="75" t="s">
        <v>120</v>
      </c>
      <c r="F457" s="82">
        <v>45</v>
      </c>
      <c r="G457" s="82">
        <v>45</v>
      </c>
      <c r="H457" s="82">
        <v>45</v>
      </c>
    </row>
    <row r="458" spans="1:8" s="35" customFormat="1" ht="25.5" customHeight="1" x14ac:dyDescent="0.2">
      <c r="A458" s="16" t="s">
        <v>69</v>
      </c>
      <c r="B458" s="16" t="s">
        <v>69</v>
      </c>
      <c r="C458" s="58">
        <v>850123300</v>
      </c>
      <c r="D458" s="65"/>
      <c r="E458" s="106" t="s">
        <v>302</v>
      </c>
      <c r="F458" s="82">
        <f>F459</f>
        <v>50</v>
      </c>
      <c r="G458" s="82">
        <f t="shared" ref="G458:H458" si="155">G459</f>
        <v>50</v>
      </c>
      <c r="H458" s="82">
        <f t="shared" si="155"/>
        <v>50</v>
      </c>
    </row>
    <row r="459" spans="1:8" ht="38.25" x14ac:dyDescent="0.2">
      <c r="A459" s="16" t="s">
        <v>69</v>
      </c>
      <c r="B459" s="16" t="s">
        <v>69</v>
      </c>
      <c r="C459" s="58">
        <v>850123300</v>
      </c>
      <c r="D459" s="65" t="s">
        <v>119</v>
      </c>
      <c r="E459" s="75" t="s">
        <v>120</v>
      </c>
      <c r="F459" s="82">
        <v>50</v>
      </c>
      <c r="G459" s="82">
        <v>50</v>
      </c>
      <c r="H459" s="82">
        <v>50</v>
      </c>
    </row>
    <row r="460" spans="1:8" ht="25.5" x14ac:dyDescent="0.2">
      <c r="A460" s="33" t="s">
        <v>69</v>
      </c>
      <c r="B460" s="33" t="s">
        <v>64</v>
      </c>
      <c r="C460" s="33"/>
      <c r="D460" s="33"/>
      <c r="E460" s="40" t="s">
        <v>74</v>
      </c>
      <c r="F460" s="161">
        <f>F461</f>
        <v>23814.7</v>
      </c>
      <c r="G460" s="161">
        <f>G461</f>
        <v>23679.7</v>
      </c>
      <c r="H460" s="161">
        <f>H461</f>
        <v>23679.7</v>
      </c>
    </row>
    <row r="461" spans="1:8" ht="89.25" x14ac:dyDescent="0.2">
      <c r="A461" s="16" t="s">
        <v>69</v>
      </c>
      <c r="B461" s="16" t="s">
        <v>64</v>
      </c>
      <c r="C461" s="57" t="s">
        <v>46</v>
      </c>
      <c r="D461" s="33"/>
      <c r="E461" s="126" t="s">
        <v>204</v>
      </c>
      <c r="F461" s="164">
        <f>F462+F464+F467+F470+F472+F474+F476+F479+F481+F483</f>
        <v>23814.7</v>
      </c>
      <c r="G461" s="164">
        <f t="shared" ref="G461:H461" si="156">G462+G464+G467+G470+G472+G474+G476+G479+G481+G483</f>
        <v>23679.7</v>
      </c>
      <c r="H461" s="164">
        <f t="shared" si="156"/>
        <v>23679.7</v>
      </c>
    </row>
    <row r="462" spans="1:8" ht="38.25" x14ac:dyDescent="0.2">
      <c r="A462" s="16" t="s">
        <v>69</v>
      </c>
      <c r="B462" s="16" t="s">
        <v>64</v>
      </c>
      <c r="C462" s="19" t="s">
        <v>287</v>
      </c>
      <c r="D462" s="33"/>
      <c r="E462" s="128" t="s">
        <v>286</v>
      </c>
      <c r="F462" s="162">
        <f>F463</f>
        <v>810</v>
      </c>
      <c r="G462" s="162">
        <f t="shared" ref="G462:H462" si="157">G463</f>
        <v>810</v>
      </c>
      <c r="H462" s="162">
        <f t="shared" si="157"/>
        <v>810</v>
      </c>
    </row>
    <row r="463" spans="1:8" ht="38.25" x14ac:dyDescent="0.2">
      <c r="A463" s="16" t="s">
        <v>69</v>
      </c>
      <c r="B463" s="16" t="s">
        <v>64</v>
      </c>
      <c r="C463" s="19" t="s">
        <v>287</v>
      </c>
      <c r="D463" s="65" t="s">
        <v>119</v>
      </c>
      <c r="E463" s="75" t="s">
        <v>120</v>
      </c>
      <c r="F463" s="162">
        <v>810</v>
      </c>
      <c r="G463" s="162">
        <v>810</v>
      </c>
      <c r="H463" s="162">
        <v>810</v>
      </c>
    </row>
    <row r="464" spans="1:8" ht="25.5" x14ac:dyDescent="0.2">
      <c r="A464" s="16" t="s">
        <v>69</v>
      </c>
      <c r="B464" s="16" t="s">
        <v>64</v>
      </c>
      <c r="C464" s="50" t="s">
        <v>285</v>
      </c>
      <c r="D464" s="19"/>
      <c r="E464" s="75" t="s">
        <v>284</v>
      </c>
      <c r="F464" s="82">
        <f>SUM(F465:F466)</f>
        <v>8268.4</v>
      </c>
      <c r="G464" s="82">
        <f t="shared" ref="G464:H464" si="158">SUM(G465:G466)</f>
        <v>8268.4</v>
      </c>
      <c r="H464" s="82">
        <f t="shared" si="158"/>
        <v>8268.4</v>
      </c>
    </row>
    <row r="465" spans="1:8" ht="38.25" x14ac:dyDescent="0.2">
      <c r="A465" s="16" t="s">
        <v>69</v>
      </c>
      <c r="B465" s="16" t="s">
        <v>64</v>
      </c>
      <c r="C465" s="50" t="s">
        <v>285</v>
      </c>
      <c r="D465" s="65" t="s">
        <v>119</v>
      </c>
      <c r="E465" s="75" t="s">
        <v>120</v>
      </c>
      <c r="F465" s="82">
        <v>200</v>
      </c>
      <c r="G465" s="82">
        <v>200</v>
      </c>
      <c r="H465" s="82">
        <v>200</v>
      </c>
    </row>
    <row r="466" spans="1:8" x14ac:dyDescent="0.2">
      <c r="A466" s="16" t="s">
        <v>69</v>
      </c>
      <c r="B466" s="16" t="s">
        <v>64</v>
      </c>
      <c r="C466" s="50" t="s">
        <v>285</v>
      </c>
      <c r="D466" s="19" t="s">
        <v>122</v>
      </c>
      <c r="E466" s="75" t="s">
        <v>121</v>
      </c>
      <c r="F466" s="82">
        <v>8068.4</v>
      </c>
      <c r="G466" s="82">
        <v>8068.4</v>
      </c>
      <c r="H466" s="82">
        <v>8068.4</v>
      </c>
    </row>
    <row r="467" spans="1:8" s="35" customFormat="1" ht="38.25" x14ac:dyDescent="0.25">
      <c r="A467" s="16" t="s">
        <v>69</v>
      </c>
      <c r="B467" s="16" t="s">
        <v>64</v>
      </c>
      <c r="C467" s="134" t="s">
        <v>289</v>
      </c>
      <c r="D467" s="19"/>
      <c r="E467" s="127" t="s">
        <v>288</v>
      </c>
      <c r="F467" s="82">
        <f>SUM(F468:F469)</f>
        <v>226.5</v>
      </c>
      <c r="G467" s="82">
        <f t="shared" ref="G467:H467" si="159">SUM(G468:G469)</f>
        <v>226.5</v>
      </c>
      <c r="H467" s="82">
        <f t="shared" si="159"/>
        <v>226.5</v>
      </c>
    </row>
    <row r="468" spans="1:8" s="35" customFormat="1" ht="25.5" x14ac:dyDescent="0.25">
      <c r="A468" s="16" t="s">
        <v>69</v>
      </c>
      <c r="B468" s="16" t="s">
        <v>64</v>
      </c>
      <c r="C468" s="134" t="s">
        <v>289</v>
      </c>
      <c r="D468" s="65" t="s">
        <v>42</v>
      </c>
      <c r="E468" s="48" t="s">
        <v>95</v>
      </c>
      <c r="F468" s="82">
        <v>88.5</v>
      </c>
      <c r="G468" s="82">
        <v>88.5</v>
      </c>
      <c r="H468" s="82">
        <v>88.5</v>
      </c>
    </row>
    <row r="469" spans="1:8" s="35" customFormat="1" ht="38.25" x14ac:dyDescent="0.25">
      <c r="A469" s="16" t="s">
        <v>69</v>
      </c>
      <c r="B469" s="16" t="s">
        <v>64</v>
      </c>
      <c r="C469" s="134" t="s">
        <v>289</v>
      </c>
      <c r="D469" s="65" t="s">
        <v>119</v>
      </c>
      <c r="E469" s="75" t="s">
        <v>120</v>
      </c>
      <c r="F469" s="82">
        <v>138</v>
      </c>
      <c r="G469" s="82">
        <v>138</v>
      </c>
      <c r="H469" s="82">
        <v>138</v>
      </c>
    </row>
    <row r="470" spans="1:8" s="35" customFormat="1" ht="51.75" x14ac:dyDescent="0.25">
      <c r="A470" s="16" t="s">
        <v>69</v>
      </c>
      <c r="B470" s="16" t="s">
        <v>64</v>
      </c>
      <c r="C470" s="134" t="s">
        <v>290</v>
      </c>
      <c r="D470" s="16"/>
      <c r="E470" s="74" t="s">
        <v>169</v>
      </c>
      <c r="F470" s="113">
        <f>F471</f>
        <v>260</v>
      </c>
      <c r="G470" s="113">
        <f>G471</f>
        <v>260</v>
      </c>
      <c r="H470" s="113">
        <f>H471</f>
        <v>260</v>
      </c>
    </row>
    <row r="471" spans="1:8" s="35" customFormat="1" ht="15" x14ac:dyDescent="0.25">
      <c r="A471" s="16" t="s">
        <v>69</v>
      </c>
      <c r="B471" s="16" t="s">
        <v>64</v>
      </c>
      <c r="C471" s="134" t="s">
        <v>290</v>
      </c>
      <c r="D471" s="65" t="s">
        <v>148</v>
      </c>
      <c r="E471" s="75" t="s">
        <v>149</v>
      </c>
      <c r="F471" s="82">
        <v>260</v>
      </c>
      <c r="G471" s="82">
        <v>260</v>
      </c>
      <c r="H471" s="82">
        <v>260</v>
      </c>
    </row>
    <row r="472" spans="1:8" s="35" customFormat="1" ht="38.25" x14ac:dyDescent="0.2">
      <c r="A472" s="16" t="s">
        <v>69</v>
      </c>
      <c r="B472" s="16" t="s">
        <v>64</v>
      </c>
      <c r="C472" s="50" t="s">
        <v>291</v>
      </c>
      <c r="D472" s="16"/>
      <c r="E472" s="75" t="s">
        <v>36</v>
      </c>
      <c r="F472" s="82">
        <f>F473</f>
        <v>118.7</v>
      </c>
      <c r="G472" s="82">
        <f>G473</f>
        <v>114.2</v>
      </c>
      <c r="H472" s="82">
        <f>H473</f>
        <v>114.2</v>
      </c>
    </row>
    <row r="473" spans="1:8" s="35" customFormat="1" ht="38.25" x14ac:dyDescent="0.2">
      <c r="A473" s="16" t="s">
        <v>69</v>
      </c>
      <c r="B473" s="16" t="s">
        <v>64</v>
      </c>
      <c r="C473" s="50" t="s">
        <v>291</v>
      </c>
      <c r="D473" s="65" t="s">
        <v>119</v>
      </c>
      <c r="E473" s="75" t="s">
        <v>120</v>
      </c>
      <c r="F473" s="82">
        <f>114.2+4.5</f>
        <v>118.7</v>
      </c>
      <c r="G473" s="82">
        <v>114.2</v>
      </c>
      <c r="H473" s="82">
        <v>114.2</v>
      </c>
    </row>
    <row r="474" spans="1:8" ht="63.75" x14ac:dyDescent="0.25">
      <c r="A474" s="16" t="s">
        <v>69</v>
      </c>
      <c r="B474" s="16" t="s">
        <v>64</v>
      </c>
      <c r="C474" s="134" t="s">
        <v>293</v>
      </c>
      <c r="D474" s="65"/>
      <c r="E474" s="75" t="s">
        <v>98</v>
      </c>
      <c r="F474" s="82">
        <f>F475</f>
        <v>562.6</v>
      </c>
      <c r="G474" s="82">
        <f>G475</f>
        <v>567.1</v>
      </c>
      <c r="H474" s="82">
        <f>H475</f>
        <v>567.1</v>
      </c>
    </row>
    <row r="475" spans="1:8" ht="38.25" x14ac:dyDescent="0.25">
      <c r="A475" s="16" t="s">
        <v>69</v>
      </c>
      <c r="B475" s="16" t="s">
        <v>64</v>
      </c>
      <c r="C475" s="134" t="s">
        <v>293</v>
      </c>
      <c r="D475" s="65" t="s">
        <v>119</v>
      </c>
      <c r="E475" s="75" t="s">
        <v>120</v>
      </c>
      <c r="F475" s="82">
        <f>567.1-4.5</f>
        <v>562.6</v>
      </c>
      <c r="G475" s="82">
        <v>567.1</v>
      </c>
      <c r="H475" s="82">
        <v>567.1</v>
      </c>
    </row>
    <row r="476" spans="1:8" ht="95.25" customHeight="1" x14ac:dyDescent="0.2">
      <c r="A476" s="16" t="s">
        <v>69</v>
      </c>
      <c r="B476" s="16" t="s">
        <v>64</v>
      </c>
      <c r="C476" s="63">
        <v>150423025</v>
      </c>
      <c r="D476" s="65"/>
      <c r="E476" s="75" t="s">
        <v>196</v>
      </c>
      <c r="F476" s="82">
        <f>SUM(F477:F478)</f>
        <v>697.4</v>
      </c>
      <c r="G476" s="82">
        <f t="shared" ref="G476:H476" si="160">SUM(G477:G478)</f>
        <v>612.4</v>
      </c>
      <c r="H476" s="82">
        <f t="shared" si="160"/>
        <v>612.4</v>
      </c>
    </row>
    <row r="477" spans="1:8" ht="38.25" x14ac:dyDescent="0.2">
      <c r="A477" s="16" t="s">
        <v>69</v>
      </c>
      <c r="B477" s="16" t="s">
        <v>64</v>
      </c>
      <c r="C477" s="63">
        <v>150423025</v>
      </c>
      <c r="D477" s="65" t="s">
        <v>119</v>
      </c>
      <c r="E477" s="75" t="s">
        <v>120</v>
      </c>
      <c r="F477" s="82">
        <f>577.4</f>
        <v>577.4</v>
      </c>
      <c r="G477" s="82">
        <v>577.4</v>
      </c>
      <c r="H477" s="82">
        <v>577.4</v>
      </c>
    </row>
    <row r="478" spans="1:8" x14ac:dyDescent="0.2">
      <c r="A478" s="16" t="s">
        <v>69</v>
      </c>
      <c r="B478" s="16" t="s">
        <v>64</v>
      </c>
      <c r="C478" s="63">
        <v>150423025</v>
      </c>
      <c r="D478" s="65" t="s">
        <v>184</v>
      </c>
      <c r="E478" s="75" t="s">
        <v>185</v>
      </c>
      <c r="F478" s="82">
        <f>35+85</f>
        <v>120</v>
      </c>
      <c r="G478" s="82">
        <v>35</v>
      </c>
      <c r="H478" s="82">
        <v>35</v>
      </c>
    </row>
    <row r="479" spans="1:8" ht="38.25" x14ac:dyDescent="0.2">
      <c r="A479" s="16" t="s">
        <v>69</v>
      </c>
      <c r="B479" s="16" t="s">
        <v>64</v>
      </c>
      <c r="C479" s="50" t="s">
        <v>292</v>
      </c>
      <c r="D479" s="16"/>
      <c r="E479" s="47" t="s">
        <v>174</v>
      </c>
      <c r="F479" s="162">
        <f>F480</f>
        <v>86.6</v>
      </c>
      <c r="G479" s="162">
        <f>G480</f>
        <v>86.6</v>
      </c>
      <c r="H479" s="162">
        <f>H480</f>
        <v>86.6</v>
      </c>
    </row>
    <row r="480" spans="1:8" x14ac:dyDescent="0.2">
      <c r="A480" s="16" t="s">
        <v>69</v>
      </c>
      <c r="B480" s="16" t="s">
        <v>64</v>
      </c>
      <c r="C480" s="50" t="s">
        <v>292</v>
      </c>
      <c r="D480" s="19" t="s">
        <v>122</v>
      </c>
      <c r="E480" s="75" t="s">
        <v>121</v>
      </c>
      <c r="F480" s="162">
        <v>86.6</v>
      </c>
      <c r="G480" s="162">
        <v>86.6</v>
      </c>
      <c r="H480" s="162">
        <v>86.6</v>
      </c>
    </row>
    <row r="481" spans="1:8" ht="80.25" customHeight="1" x14ac:dyDescent="0.2">
      <c r="A481" s="16" t="s">
        <v>69</v>
      </c>
      <c r="B481" s="16" t="s">
        <v>64</v>
      </c>
      <c r="C481" s="50" t="s">
        <v>551</v>
      </c>
      <c r="D481" s="19"/>
      <c r="E481" s="47" t="s">
        <v>553</v>
      </c>
      <c r="F481" s="162">
        <f>F482</f>
        <v>50</v>
      </c>
      <c r="G481" s="162">
        <f t="shared" ref="G481:H481" si="161">G482</f>
        <v>0</v>
      </c>
      <c r="H481" s="162">
        <f t="shared" si="161"/>
        <v>0</v>
      </c>
    </row>
    <row r="482" spans="1:8" ht="38.25" x14ac:dyDescent="0.2">
      <c r="A482" s="16" t="s">
        <v>69</v>
      </c>
      <c r="B482" s="16" t="s">
        <v>64</v>
      </c>
      <c r="C482" s="50" t="s">
        <v>551</v>
      </c>
      <c r="D482" s="65" t="s">
        <v>119</v>
      </c>
      <c r="E482" s="75" t="s">
        <v>120</v>
      </c>
      <c r="F482" s="162">
        <v>50</v>
      </c>
      <c r="G482" s="162">
        <v>0</v>
      </c>
      <c r="H482" s="162">
        <v>0</v>
      </c>
    </row>
    <row r="483" spans="1:8" ht="62.25" customHeight="1" x14ac:dyDescent="0.2">
      <c r="A483" s="16" t="s">
        <v>69</v>
      </c>
      <c r="B483" s="16" t="s">
        <v>64</v>
      </c>
      <c r="C483" s="63">
        <v>159922200</v>
      </c>
      <c r="D483" s="65"/>
      <c r="E483" s="127" t="s">
        <v>295</v>
      </c>
      <c r="F483" s="82">
        <f>SUM(F484:F485)</f>
        <v>12734.5</v>
      </c>
      <c r="G483" s="82">
        <f>SUM(G484:G485)</f>
        <v>12734.5</v>
      </c>
      <c r="H483" s="82">
        <f>SUM(H484:H485)</f>
        <v>12734.5</v>
      </c>
    </row>
    <row r="484" spans="1:8" ht="38.25" x14ac:dyDescent="0.2">
      <c r="A484" s="16" t="s">
        <v>69</v>
      </c>
      <c r="B484" s="16" t="s">
        <v>64</v>
      </c>
      <c r="C484" s="63">
        <v>159922200</v>
      </c>
      <c r="D484" s="16" t="s">
        <v>40</v>
      </c>
      <c r="E484" s="48" t="s">
        <v>41</v>
      </c>
      <c r="F484" s="82">
        <f>10005.3+2057.2</f>
        <v>12062.5</v>
      </c>
      <c r="G484" s="82">
        <f t="shared" ref="G484:H484" si="162">10005.3+2057.2</f>
        <v>12062.5</v>
      </c>
      <c r="H484" s="82">
        <f t="shared" si="162"/>
        <v>12062.5</v>
      </c>
    </row>
    <row r="485" spans="1:8" ht="38.25" x14ac:dyDescent="0.2">
      <c r="A485" s="16" t="s">
        <v>69</v>
      </c>
      <c r="B485" s="16" t="s">
        <v>64</v>
      </c>
      <c r="C485" s="63">
        <v>159922200</v>
      </c>
      <c r="D485" s="65" t="s">
        <v>119</v>
      </c>
      <c r="E485" s="75" t="s">
        <v>120</v>
      </c>
      <c r="F485" s="82">
        <v>672</v>
      </c>
      <c r="G485" s="82">
        <v>672</v>
      </c>
      <c r="H485" s="82">
        <v>672</v>
      </c>
    </row>
    <row r="486" spans="1:8" ht="15.75" x14ac:dyDescent="0.25">
      <c r="A486" s="4" t="s">
        <v>66</v>
      </c>
      <c r="B486" s="3"/>
      <c r="C486" s="3"/>
      <c r="D486" s="3"/>
      <c r="E486" s="43" t="s">
        <v>18</v>
      </c>
      <c r="F486" s="156">
        <f>F487+F512</f>
        <v>130693.6</v>
      </c>
      <c r="G486" s="156">
        <f>G487+G512</f>
        <v>120076.3</v>
      </c>
      <c r="H486" s="156">
        <f>H487+H512</f>
        <v>120076.3</v>
      </c>
    </row>
    <row r="487" spans="1:8" ht="14.25" x14ac:dyDescent="0.2">
      <c r="A487" s="33" t="s">
        <v>66</v>
      </c>
      <c r="B487" s="33" t="s">
        <v>53</v>
      </c>
      <c r="C487" s="33"/>
      <c r="D487" s="33"/>
      <c r="E487" s="39" t="s">
        <v>71</v>
      </c>
      <c r="F487" s="161">
        <f>F488+F507</f>
        <v>125193.90000000001</v>
      </c>
      <c r="G487" s="161">
        <f t="shared" ref="G487:H487" si="163">G488+G507</f>
        <v>114576.6</v>
      </c>
      <c r="H487" s="161">
        <f t="shared" si="163"/>
        <v>114576.6</v>
      </c>
    </row>
    <row r="488" spans="1:8" ht="89.25" x14ac:dyDescent="0.25">
      <c r="A488" s="16" t="s">
        <v>66</v>
      </c>
      <c r="B488" s="16" t="s">
        <v>53</v>
      </c>
      <c r="C488" s="57" t="s">
        <v>38</v>
      </c>
      <c r="D488" s="33"/>
      <c r="E488" s="115" t="s">
        <v>205</v>
      </c>
      <c r="F488" s="166">
        <f>F489+F492+F494+F496+F499+F501+F503+F505</f>
        <v>124333.90000000001</v>
      </c>
      <c r="G488" s="166">
        <f t="shared" ref="G488:H488" si="164">G489+G492+G494+G496+G499+G501+G503+G505</f>
        <v>114576.6</v>
      </c>
      <c r="H488" s="166">
        <f t="shared" si="164"/>
        <v>114576.6</v>
      </c>
    </row>
    <row r="489" spans="1:8" s="18" customFormat="1" ht="40.9" customHeight="1" x14ac:dyDescent="0.25">
      <c r="A489" s="16" t="s">
        <v>66</v>
      </c>
      <c r="B489" s="16" t="s">
        <v>53</v>
      </c>
      <c r="C489" s="58" t="s">
        <v>446</v>
      </c>
      <c r="D489" s="65"/>
      <c r="E489" s="75" t="s">
        <v>445</v>
      </c>
      <c r="F489" s="113">
        <f>SUM(F490:F491)</f>
        <v>55413</v>
      </c>
      <c r="G489" s="113">
        <f>SUM(G490:G491)</f>
        <v>55413</v>
      </c>
      <c r="H489" s="113">
        <f>SUM(H490:H491)</f>
        <v>55413</v>
      </c>
    </row>
    <row r="490" spans="1:8" s="18" customFormat="1" ht="25.5" x14ac:dyDescent="0.25">
      <c r="A490" s="16" t="s">
        <v>66</v>
      </c>
      <c r="B490" s="16" t="s">
        <v>53</v>
      </c>
      <c r="C490" s="58" t="s">
        <v>446</v>
      </c>
      <c r="D490" s="65" t="s">
        <v>42</v>
      </c>
      <c r="E490" s="48" t="s">
        <v>95</v>
      </c>
      <c r="F490" s="113">
        <v>16689.900000000001</v>
      </c>
      <c r="G490" s="113">
        <v>16689.900000000001</v>
      </c>
      <c r="H490" s="113">
        <v>16689.900000000001</v>
      </c>
    </row>
    <row r="491" spans="1:8" s="18" customFormat="1" ht="15" x14ac:dyDescent="0.25">
      <c r="A491" s="16" t="s">
        <v>66</v>
      </c>
      <c r="B491" s="16" t="s">
        <v>53</v>
      </c>
      <c r="C491" s="58" t="s">
        <v>446</v>
      </c>
      <c r="D491" s="19" t="s">
        <v>122</v>
      </c>
      <c r="E491" s="75" t="s">
        <v>121</v>
      </c>
      <c r="F491" s="113">
        <v>38723.1</v>
      </c>
      <c r="G491" s="113">
        <v>38723.1</v>
      </c>
      <c r="H491" s="113">
        <v>38723.1</v>
      </c>
    </row>
    <row r="492" spans="1:8" s="18" customFormat="1" ht="51" x14ac:dyDescent="0.25">
      <c r="A492" s="16" t="s">
        <v>66</v>
      </c>
      <c r="B492" s="16" t="s">
        <v>53</v>
      </c>
      <c r="C492" s="19" t="s">
        <v>448</v>
      </c>
      <c r="D492" s="33"/>
      <c r="E492" s="128" t="s">
        <v>610</v>
      </c>
      <c r="F492" s="162">
        <f>F493</f>
        <v>873.7</v>
      </c>
      <c r="G492" s="162">
        <f t="shared" ref="G492:H492" si="165">G493</f>
        <v>9</v>
      </c>
      <c r="H492" s="162">
        <f t="shared" si="165"/>
        <v>9</v>
      </c>
    </row>
    <row r="493" spans="1:8" s="18" customFormat="1" ht="15" x14ac:dyDescent="0.25">
      <c r="A493" s="16" t="s">
        <v>66</v>
      </c>
      <c r="B493" s="16" t="s">
        <v>53</v>
      </c>
      <c r="C493" s="19" t="s">
        <v>448</v>
      </c>
      <c r="D493" s="19" t="s">
        <v>122</v>
      </c>
      <c r="E493" s="75" t="s">
        <v>121</v>
      </c>
      <c r="F493" s="162">
        <f>9+1+863.7</f>
        <v>873.7</v>
      </c>
      <c r="G493" s="162">
        <v>9</v>
      </c>
      <c r="H493" s="162">
        <v>9</v>
      </c>
    </row>
    <row r="494" spans="1:8" s="18" customFormat="1" ht="38.25" x14ac:dyDescent="0.25">
      <c r="A494" s="16" t="s">
        <v>66</v>
      </c>
      <c r="B494" s="16" t="s">
        <v>53</v>
      </c>
      <c r="C494" s="19" t="s">
        <v>449</v>
      </c>
      <c r="D494" s="33"/>
      <c r="E494" s="128" t="s">
        <v>450</v>
      </c>
      <c r="F494" s="162">
        <f>F495</f>
        <v>98.4</v>
      </c>
      <c r="G494" s="162">
        <f t="shared" ref="G494:H494" si="166">G495</f>
        <v>13.4</v>
      </c>
      <c r="H494" s="162">
        <f t="shared" si="166"/>
        <v>13.4</v>
      </c>
    </row>
    <row r="495" spans="1:8" s="18" customFormat="1" ht="38.25" x14ac:dyDescent="0.25">
      <c r="A495" s="16" t="s">
        <v>66</v>
      </c>
      <c r="B495" s="16" t="s">
        <v>53</v>
      </c>
      <c r="C495" s="19" t="s">
        <v>449</v>
      </c>
      <c r="D495" s="65" t="s">
        <v>119</v>
      </c>
      <c r="E495" s="75" t="s">
        <v>120</v>
      </c>
      <c r="F495" s="162">
        <f>13.4+85</f>
        <v>98.4</v>
      </c>
      <c r="G495" s="162">
        <v>13.4</v>
      </c>
      <c r="H495" s="162">
        <v>13.4</v>
      </c>
    </row>
    <row r="496" spans="1:8" s="18" customFormat="1" ht="39" x14ac:dyDescent="0.25">
      <c r="A496" s="16" t="s">
        <v>66</v>
      </c>
      <c r="B496" s="16" t="s">
        <v>53</v>
      </c>
      <c r="C496" s="58">
        <v>250122900</v>
      </c>
      <c r="D496" s="16"/>
      <c r="E496" s="76" t="s">
        <v>453</v>
      </c>
      <c r="F496" s="113">
        <f>F497+F498</f>
        <v>16458.400000000001</v>
      </c>
      <c r="G496" s="113">
        <f t="shared" ref="G496:H496" si="167">G497+G498</f>
        <v>15406.4</v>
      </c>
      <c r="H496" s="113">
        <f t="shared" si="167"/>
        <v>15406.4</v>
      </c>
    </row>
    <row r="497" spans="1:8" s="18" customFormat="1" ht="25.5" x14ac:dyDescent="0.25">
      <c r="A497" s="16" t="s">
        <v>66</v>
      </c>
      <c r="B497" s="16" t="s">
        <v>53</v>
      </c>
      <c r="C497" s="58">
        <v>250122900</v>
      </c>
      <c r="D497" s="65" t="s">
        <v>42</v>
      </c>
      <c r="E497" s="48" t="s">
        <v>95</v>
      </c>
      <c r="F497" s="113">
        <v>5900.1</v>
      </c>
      <c r="G497" s="113">
        <v>5900.1</v>
      </c>
      <c r="H497" s="113">
        <v>5900.1</v>
      </c>
    </row>
    <row r="498" spans="1:8" ht="38.25" x14ac:dyDescent="0.2">
      <c r="A498" s="16" t="s">
        <v>66</v>
      </c>
      <c r="B498" s="16" t="s">
        <v>53</v>
      </c>
      <c r="C498" s="58">
        <v>250122900</v>
      </c>
      <c r="D498" s="65" t="s">
        <v>119</v>
      </c>
      <c r="E498" s="75" t="s">
        <v>120</v>
      </c>
      <c r="F498" s="113">
        <f>9766.1+792.2</f>
        <v>10558.300000000001</v>
      </c>
      <c r="G498" s="113">
        <v>9506.2999999999993</v>
      </c>
      <c r="H498" s="113">
        <v>9506.2999999999993</v>
      </c>
    </row>
    <row r="499" spans="1:8" ht="50.25" customHeight="1" x14ac:dyDescent="0.2">
      <c r="A499" s="16" t="s">
        <v>66</v>
      </c>
      <c r="B499" s="16" t="s">
        <v>53</v>
      </c>
      <c r="C499" s="58">
        <v>250121100</v>
      </c>
      <c r="D499" s="16"/>
      <c r="E499" s="76" t="s">
        <v>454</v>
      </c>
      <c r="F499" s="113">
        <f>F500</f>
        <v>49164.100000000006</v>
      </c>
      <c r="G499" s="113">
        <f>G500</f>
        <v>43734.8</v>
      </c>
      <c r="H499" s="113">
        <f>H500</f>
        <v>43734.8</v>
      </c>
    </row>
    <row r="500" spans="1:8" x14ac:dyDescent="0.2">
      <c r="A500" s="16" t="s">
        <v>66</v>
      </c>
      <c r="B500" s="16" t="s">
        <v>53</v>
      </c>
      <c r="C500" s="58">
        <v>250121100</v>
      </c>
      <c r="D500" s="19" t="s">
        <v>122</v>
      </c>
      <c r="E500" s="75" t="s">
        <v>121</v>
      </c>
      <c r="F500" s="113">
        <f>43734.8+5429.3</f>
        <v>49164.100000000006</v>
      </c>
      <c r="G500" s="113">
        <v>43734.8</v>
      </c>
      <c r="H500" s="113">
        <v>43734.8</v>
      </c>
    </row>
    <row r="501" spans="1:8" ht="51" x14ac:dyDescent="0.2">
      <c r="A501" s="16" t="s">
        <v>66</v>
      </c>
      <c r="B501" s="16" t="s">
        <v>53</v>
      </c>
      <c r="C501" s="96" t="s">
        <v>455</v>
      </c>
      <c r="D501" s="19"/>
      <c r="E501" s="75" t="s">
        <v>197</v>
      </c>
      <c r="F501" s="113">
        <f>F502</f>
        <v>1120.3</v>
      </c>
      <c r="G501" s="113">
        <f>G502</f>
        <v>0</v>
      </c>
      <c r="H501" s="113">
        <f>H502</f>
        <v>0</v>
      </c>
    </row>
    <row r="502" spans="1:8" x14ac:dyDescent="0.2">
      <c r="A502" s="16" t="s">
        <v>66</v>
      </c>
      <c r="B502" s="16" t="s">
        <v>53</v>
      </c>
      <c r="C502" s="96" t="s">
        <v>455</v>
      </c>
      <c r="D502" s="19" t="s">
        <v>122</v>
      </c>
      <c r="E502" s="75" t="s">
        <v>121</v>
      </c>
      <c r="F502" s="113">
        <v>1120.3</v>
      </c>
      <c r="G502" s="113">
        <v>0</v>
      </c>
      <c r="H502" s="113">
        <v>0</v>
      </c>
    </row>
    <row r="503" spans="1:8" ht="25.5" x14ac:dyDescent="0.2">
      <c r="A503" s="16" t="s">
        <v>66</v>
      </c>
      <c r="B503" s="16" t="s">
        <v>53</v>
      </c>
      <c r="C503" s="96" t="s">
        <v>457</v>
      </c>
      <c r="D503" s="19"/>
      <c r="E503" s="47" t="s">
        <v>456</v>
      </c>
      <c r="F503" s="113">
        <f>F504</f>
        <v>1036</v>
      </c>
      <c r="G503" s="113">
        <f t="shared" ref="G503:H503" si="168">G504</f>
        <v>0</v>
      </c>
      <c r="H503" s="113">
        <f t="shared" si="168"/>
        <v>0</v>
      </c>
    </row>
    <row r="504" spans="1:8" x14ac:dyDescent="0.2">
      <c r="A504" s="16" t="s">
        <v>66</v>
      </c>
      <c r="B504" s="16" t="s">
        <v>53</v>
      </c>
      <c r="C504" s="96" t="s">
        <v>457</v>
      </c>
      <c r="D504" s="19" t="s">
        <v>122</v>
      </c>
      <c r="E504" s="75" t="s">
        <v>121</v>
      </c>
      <c r="F504" s="113">
        <v>1036</v>
      </c>
      <c r="G504" s="113">
        <v>0</v>
      </c>
      <c r="H504" s="113"/>
    </row>
    <row r="505" spans="1:8" ht="51" x14ac:dyDescent="0.2">
      <c r="A505" s="16" t="s">
        <v>66</v>
      </c>
      <c r="B505" s="16" t="s">
        <v>53</v>
      </c>
      <c r="C505" s="96" t="s">
        <v>554</v>
      </c>
      <c r="D505" s="19"/>
      <c r="E505" s="75" t="s">
        <v>552</v>
      </c>
      <c r="F505" s="113">
        <f>F506</f>
        <v>170</v>
      </c>
      <c r="G505" s="113">
        <f t="shared" ref="G505:H505" si="169">G506</f>
        <v>0</v>
      </c>
      <c r="H505" s="113">
        <f t="shared" si="169"/>
        <v>0</v>
      </c>
    </row>
    <row r="506" spans="1:8" x14ac:dyDescent="0.2">
      <c r="A506" s="16" t="s">
        <v>66</v>
      </c>
      <c r="B506" s="16" t="s">
        <v>53</v>
      </c>
      <c r="C506" s="96" t="s">
        <v>554</v>
      </c>
      <c r="D506" s="19" t="s">
        <v>122</v>
      </c>
      <c r="E506" s="75" t="s">
        <v>121</v>
      </c>
      <c r="F506" s="113">
        <v>170</v>
      </c>
      <c r="G506" s="113">
        <v>0</v>
      </c>
      <c r="H506" s="113">
        <v>0</v>
      </c>
    </row>
    <row r="507" spans="1:8" ht="38.25" x14ac:dyDescent="0.2">
      <c r="A507" s="16" t="s">
        <v>66</v>
      </c>
      <c r="B507" s="16" t="s">
        <v>53</v>
      </c>
      <c r="C507" s="65" t="s">
        <v>22</v>
      </c>
      <c r="D507" s="65"/>
      <c r="E507" s="76" t="s">
        <v>28</v>
      </c>
      <c r="F507" s="182">
        <f>F508+F510</f>
        <v>860</v>
      </c>
      <c r="G507" s="182">
        <f t="shared" ref="G507:H507" si="170">G508</f>
        <v>0</v>
      </c>
      <c r="H507" s="182">
        <f t="shared" si="170"/>
        <v>0</v>
      </c>
    </row>
    <row r="508" spans="1:8" ht="64.5" customHeight="1" x14ac:dyDescent="0.2">
      <c r="A508" s="16" t="s">
        <v>66</v>
      </c>
      <c r="B508" s="16" t="s">
        <v>53</v>
      </c>
      <c r="C508" s="65" t="s">
        <v>599</v>
      </c>
      <c r="D508" s="16"/>
      <c r="E508" s="106" t="s">
        <v>606</v>
      </c>
      <c r="F508" s="182">
        <f>SUM(F509:F509)</f>
        <v>490</v>
      </c>
      <c r="G508" s="182">
        <f>SUM(G509:G509)</f>
        <v>0</v>
      </c>
      <c r="H508" s="182">
        <f>SUM(H509:H509)</f>
        <v>0</v>
      </c>
    </row>
    <row r="509" spans="1:8" x14ac:dyDescent="0.2">
      <c r="A509" s="16" t="s">
        <v>66</v>
      </c>
      <c r="B509" s="16" t="s">
        <v>53</v>
      </c>
      <c r="C509" s="65" t="s">
        <v>599</v>
      </c>
      <c r="D509" s="19" t="s">
        <v>122</v>
      </c>
      <c r="E509" s="75" t="s">
        <v>121</v>
      </c>
      <c r="F509" s="37">
        <v>490</v>
      </c>
      <c r="G509" s="37">
        <v>0</v>
      </c>
      <c r="H509" s="37">
        <v>0</v>
      </c>
    </row>
    <row r="510" spans="1:8" ht="51" x14ac:dyDescent="0.2">
      <c r="A510" s="16" t="s">
        <v>66</v>
      </c>
      <c r="B510" s="16" t="s">
        <v>53</v>
      </c>
      <c r="C510" s="65" t="s">
        <v>598</v>
      </c>
      <c r="D510" s="19"/>
      <c r="E510" s="106" t="s">
        <v>607</v>
      </c>
      <c r="F510" s="37">
        <f>F511</f>
        <v>370</v>
      </c>
      <c r="G510" s="37">
        <f t="shared" ref="G510:H510" si="171">G511</f>
        <v>0</v>
      </c>
      <c r="H510" s="37">
        <f t="shared" si="171"/>
        <v>0</v>
      </c>
    </row>
    <row r="511" spans="1:8" ht="38.25" x14ac:dyDescent="0.2">
      <c r="A511" s="16" t="s">
        <v>66</v>
      </c>
      <c r="B511" s="16" t="s">
        <v>53</v>
      </c>
      <c r="C511" s="65" t="s">
        <v>598</v>
      </c>
      <c r="D511" s="65" t="s">
        <v>119</v>
      </c>
      <c r="E511" s="75" t="s">
        <v>120</v>
      </c>
      <c r="F511" s="37">
        <v>370</v>
      </c>
      <c r="G511" s="37">
        <v>0</v>
      </c>
      <c r="H511" s="37">
        <v>0</v>
      </c>
    </row>
    <row r="512" spans="1:8" ht="25.5" x14ac:dyDescent="0.2">
      <c r="A512" s="33" t="s">
        <v>66</v>
      </c>
      <c r="B512" s="33" t="s">
        <v>59</v>
      </c>
      <c r="C512" s="33"/>
      <c r="D512" s="33"/>
      <c r="E512" s="40" t="s">
        <v>5</v>
      </c>
      <c r="F512" s="161">
        <f>F513</f>
        <v>5499.7</v>
      </c>
      <c r="G512" s="161">
        <f>G513</f>
        <v>5499.7</v>
      </c>
      <c r="H512" s="161">
        <f>H513</f>
        <v>5499.7</v>
      </c>
    </row>
    <row r="513" spans="1:8" ht="90.75" customHeight="1" x14ac:dyDescent="0.25">
      <c r="A513" s="5" t="s">
        <v>66</v>
      </c>
      <c r="B513" s="5" t="s">
        <v>59</v>
      </c>
      <c r="C513" s="57" t="s">
        <v>38</v>
      </c>
      <c r="D513" s="33"/>
      <c r="E513" s="115" t="s">
        <v>205</v>
      </c>
      <c r="F513" s="166">
        <f>F514+F516</f>
        <v>5499.7</v>
      </c>
      <c r="G513" s="166">
        <f>G514+G516</f>
        <v>5499.7</v>
      </c>
      <c r="H513" s="166">
        <f>H514+H516</f>
        <v>5499.7</v>
      </c>
    </row>
    <row r="514" spans="1:8" ht="51" x14ac:dyDescent="0.2">
      <c r="A514" s="16" t="s">
        <v>66</v>
      </c>
      <c r="B514" s="16" t="s">
        <v>59</v>
      </c>
      <c r="C514" s="19" t="s">
        <v>459</v>
      </c>
      <c r="D514" s="16"/>
      <c r="E514" s="75" t="s">
        <v>458</v>
      </c>
      <c r="F514" s="82">
        <f t="shared" ref="F514:H514" si="172">F515</f>
        <v>680</v>
      </c>
      <c r="G514" s="82">
        <f t="shared" si="172"/>
        <v>680</v>
      </c>
      <c r="H514" s="82">
        <f t="shared" si="172"/>
        <v>680</v>
      </c>
    </row>
    <row r="515" spans="1:8" ht="38.25" x14ac:dyDescent="0.2">
      <c r="A515" s="16" t="s">
        <v>66</v>
      </c>
      <c r="B515" s="16" t="s">
        <v>59</v>
      </c>
      <c r="C515" s="19" t="s">
        <v>459</v>
      </c>
      <c r="D515" s="65" t="s">
        <v>119</v>
      </c>
      <c r="E515" s="75" t="s">
        <v>120</v>
      </c>
      <c r="F515" s="82">
        <v>680</v>
      </c>
      <c r="G515" s="82">
        <v>680</v>
      </c>
      <c r="H515" s="82">
        <v>680</v>
      </c>
    </row>
    <row r="516" spans="1:8" ht="64.5" customHeight="1" x14ac:dyDescent="0.2">
      <c r="A516" s="16" t="s">
        <v>66</v>
      </c>
      <c r="B516" s="16" t="s">
        <v>59</v>
      </c>
      <c r="C516" s="63">
        <v>259922200</v>
      </c>
      <c r="D516" s="19"/>
      <c r="E516" s="75" t="s">
        <v>478</v>
      </c>
      <c r="F516" s="162">
        <f>SUM(F517:F518)</f>
        <v>4819.7</v>
      </c>
      <c r="G516" s="162">
        <f>SUM(G517:G518)</f>
        <v>4819.7</v>
      </c>
      <c r="H516" s="162">
        <f>SUM(H517:H518)</f>
        <v>4819.7</v>
      </c>
    </row>
    <row r="517" spans="1:8" ht="38.25" x14ac:dyDescent="0.2">
      <c r="A517" s="16" t="s">
        <v>66</v>
      </c>
      <c r="B517" s="16" t="s">
        <v>59</v>
      </c>
      <c r="C517" s="63">
        <v>259922200</v>
      </c>
      <c r="D517" s="16" t="s">
        <v>40</v>
      </c>
      <c r="E517" s="48" t="s">
        <v>41</v>
      </c>
      <c r="F517" s="162">
        <f>3942.1+787.1</f>
        <v>4729.2</v>
      </c>
      <c r="G517" s="162">
        <f t="shared" ref="G517:H517" si="173">3942.1+787.1</f>
        <v>4729.2</v>
      </c>
      <c r="H517" s="162">
        <f t="shared" si="173"/>
        <v>4729.2</v>
      </c>
    </row>
    <row r="518" spans="1:8" ht="38.25" x14ac:dyDescent="0.2">
      <c r="A518" s="16" t="s">
        <v>66</v>
      </c>
      <c r="B518" s="16" t="s">
        <v>59</v>
      </c>
      <c r="C518" s="63">
        <v>259922200</v>
      </c>
      <c r="D518" s="65" t="s">
        <v>119</v>
      </c>
      <c r="E518" s="75" t="s">
        <v>120</v>
      </c>
      <c r="F518" s="82">
        <v>90.5</v>
      </c>
      <c r="G518" s="82">
        <v>90.5</v>
      </c>
      <c r="H518" s="82">
        <v>90.5</v>
      </c>
    </row>
    <row r="519" spans="1:8" ht="15.75" x14ac:dyDescent="0.25">
      <c r="A519" s="4" t="s">
        <v>75</v>
      </c>
      <c r="B519" s="3"/>
      <c r="C519" s="3"/>
      <c r="D519" s="3"/>
      <c r="E519" s="43" t="s">
        <v>76</v>
      </c>
      <c r="F519" s="86">
        <f>F520+F524+F539</f>
        <v>39266.1</v>
      </c>
      <c r="G519" s="86">
        <f>G520+G524+G539</f>
        <v>22989</v>
      </c>
      <c r="H519" s="86">
        <f>H520+H524+H539</f>
        <v>33048.9</v>
      </c>
    </row>
    <row r="520" spans="1:8" ht="14.25" x14ac:dyDescent="0.2">
      <c r="A520" s="33" t="s">
        <v>75</v>
      </c>
      <c r="B520" s="33" t="s">
        <v>53</v>
      </c>
      <c r="C520" s="33"/>
      <c r="D520" s="33"/>
      <c r="E520" s="39" t="s">
        <v>77</v>
      </c>
      <c r="F520" s="161">
        <f t="shared" ref="F520:H522" si="174">F521</f>
        <v>6024.9</v>
      </c>
      <c r="G520" s="161">
        <f t="shared" si="174"/>
        <v>6024.9</v>
      </c>
      <c r="H520" s="161">
        <f t="shared" si="174"/>
        <v>6024.9000000000005</v>
      </c>
    </row>
    <row r="521" spans="1:8" ht="91.5" customHeight="1" x14ac:dyDescent="0.25">
      <c r="A521" s="5" t="s">
        <v>75</v>
      </c>
      <c r="B521" s="5" t="s">
        <v>53</v>
      </c>
      <c r="C521" s="57" t="s">
        <v>37</v>
      </c>
      <c r="D521" s="3"/>
      <c r="E521" s="114" t="s">
        <v>214</v>
      </c>
      <c r="F521" s="86">
        <f t="shared" si="174"/>
        <v>6024.9</v>
      </c>
      <c r="G521" s="86">
        <f t="shared" si="174"/>
        <v>6024.9</v>
      </c>
      <c r="H521" s="86">
        <f t="shared" si="174"/>
        <v>6024.9000000000005</v>
      </c>
    </row>
    <row r="522" spans="1:8" ht="26.25" x14ac:dyDescent="0.25">
      <c r="A522" s="16" t="s">
        <v>75</v>
      </c>
      <c r="B522" s="16" t="s">
        <v>53</v>
      </c>
      <c r="C522" s="62">
        <v>1150225110</v>
      </c>
      <c r="D522" s="3"/>
      <c r="E522" s="76" t="s">
        <v>152</v>
      </c>
      <c r="F522" s="82">
        <f t="shared" si="174"/>
        <v>6024.9</v>
      </c>
      <c r="G522" s="82">
        <f t="shared" si="174"/>
        <v>6024.9</v>
      </c>
      <c r="H522" s="82">
        <f t="shared" si="174"/>
        <v>6024.9000000000005</v>
      </c>
    </row>
    <row r="523" spans="1:8" ht="25.5" x14ac:dyDescent="0.2">
      <c r="A523" s="16" t="s">
        <v>75</v>
      </c>
      <c r="B523" s="16" t="s">
        <v>53</v>
      </c>
      <c r="C523" s="62">
        <v>1150225110</v>
      </c>
      <c r="D523" s="65" t="s">
        <v>129</v>
      </c>
      <c r="E523" s="75" t="s">
        <v>130</v>
      </c>
      <c r="F523" s="113">
        <f>4414+1610.9</f>
        <v>6024.9</v>
      </c>
      <c r="G523" s="113">
        <f>4414+1610.9</f>
        <v>6024.9</v>
      </c>
      <c r="H523" s="113">
        <f>4414.1+1610.8</f>
        <v>6024.9000000000005</v>
      </c>
    </row>
    <row r="524" spans="1:8" ht="14.25" x14ac:dyDescent="0.2">
      <c r="A524" s="33" t="s">
        <v>75</v>
      </c>
      <c r="B524" s="33" t="s">
        <v>58</v>
      </c>
      <c r="C524" s="33"/>
      <c r="D524" s="33"/>
      <c r="E524" s="39" t="s">
        <v>81</v>
      </c>
      <c r="F524" s="161">
        <f>F525+F528+F535</f>
        <v>2912.7</v>
      </c>
      <c r="G524" s="161">
        <f t="shared" ref="G524:H524" si="175">G525+G528+G535</f>
        <v>2169.4</v>
      </c>
      <c r="H524" s="161">
        <f t="shared" si="175"/>
        <v>2169.4</v>
      </c>
    </row>
    <row r="525" spans="1:8" ht="89.25" x14ac:dyDescent="0.25">
      <c r="A525" s="5" t="s">
        <v>75</v>
      </c>
      <c r="B525" s="5" t="s">
        <v>58</v>
      </c>
      <c r="C525" s="57" t="s">
        <v>46</v>
      </c>
      <c r="D525" s="33"/>
      <c r="E525" s="126" t="s">
        <v>204</v>
      </c>
      <c r="F525" s="166">
        <f t="shared" ref="F525:H526" si="176">F526</f>
        <v>990</v>
      </c>
      <c r="G525" s="166">
        <f t="shared" si="176"/>
        <v>990</v>
      </c>
      <c r="H525" s="166">
        <f t="shared" si="176"/>
        <v>990</v>
      </c>
    </row>
    <row r="526" spans="1:8" ht="107.25" customHeight="1" x14ac:dyDescent="0.2">
      <c r="A526" s="16" t="s">
        <v>75</v>
      </c>
      <c r="B526" s="16" t="s">
        <v>58</v>
      </c>
      <c r="C526" s="63">
        <v>150410560</v>
      </c>
      <c r="D526" s="65"/>
      <c r="E526" s="75" t="s">
        <v>519</v>
      </c>
      <c r="F526" s="82">
        <f t="shared" si="176"/>
        <v>990</v>
      </c>
      <c r="G526" s="82">
        <f t="shared" si="176"/>
        <v>990</v>
      </c>
      <c r="H526" s="82">
        <f t="shared" si="176"/>
        <v>990</v>
      </c>
    </row>
    <row r="527" spans="1:8" ht="25.5" x14ac:dyDescent="0.2">
      <c r="A527" s="16" t="s">
        <v>75</v>
      </c>
      <c r="B527" s="16" t="s">
        <v>58</v>
      </c>
      <c r="C527" s="63">
        <v>150410560</v>
      </c>
      <c r="D527" s="65" t="s">
        <v>129</v>
      </c>
      <c r="E527" s="75" t="s">
        <v>130</v>
      </c>
      <c r="F527" s="82">
        <v>990</v>
      </c>
      <c r="G527" s="82">
        <v>990</v>
      </c>
      <c r="H527" s="82">
        <v>990</v>
      </c>
    </row>
    <row r="528" spans="1:8" ht="96" customHeight="1" x14ac:dyDescent="0.25">
      <c r="A528" s="5" t="s">
        <v>75</v>
      </c>
      <c r="B528" s="5" t="s">
        <v>58</v>
      </c>
      <c r="C528" s="57" t="s">
        <v>37</v>
      </c>
      <c r="D528" s="3"/>
      <c r="E528" s="114" t="s">
        <v>214</v>
      </c>
      <c r="F528" s="158">
        <f>F529+F531+F533</f>
        <v>1547.7</v>
      </c>
      <c r="G528" s="158">
        <f t="shared" ref="G528:H528" si="177">G529+G531+G533</f>
        <v>1179.4000000000001</v>
      </c>
      <c r="H528" s="158">
        <f t="shared" si="177"/>
        <v>1179.4000000000001</v>
      </c>
    </row>
    <row r="529" spans="1:8" ht="63.75" x14ac:dyDescent="0.2">
      <c r="A529" s="16" t="s">
        <v>75</v>
      </c>
      <c r="B529" s="16" t="s">
        <v>58</v>
      </c>
      <c r="C529" s="62">
        <v>1150227100</v>
      </c>
      <c r="D529" s="16"/>
      <c r="E529" s="75" t="s">
        <v>435</v>
      </c>
      <c r="F529" s="82">
        <f t="shared" ref="F529:H529" si="178">F530</f>
        <v>250</v>
      </c>
      <c r="G529" s="82">
        <f t="shared" si="178"/>
        <v>773</v>
      </c>
      <c r="H529" s="82">
        <f t="shared" si="178"/>
        <v>773</v>
      </c>
    </row>
    <row r="530" spans="1:8" ht="76.5" x14ac:dyDescent="0.2">
      <c r="A530" s="16" t="s">
        <v>75</v>
      </c>
      <c r="B530" s="16" t="s">
        <v>58</v>
      </c>
      <c r="C530" s="62">
        <v>1150227100</v>
      </c>
      <c r="D530" s="16" t="s">
        <v>17</v>
      </c>
      <c r="E530" s="76" t="s">
        <v>151</v>
      </c>
      <c r="F530" s="82">
        <f>773-523</f>
        <v>250</v>
      </c>
      <c r="G530" s="82">
        <v>773</v>
      </c>
      <c r="H530" s="82">
        <v>773</v>
      </c>
    </row>
    <row r="531" spans="1:8" ht="98.25" customHeight="1" x14ac:dyDescent="0.2">
      <c r="A531" s="16" t="s">
        <v>75</v>
      </c>
      <c r="B531" s="16" t="s">
        <v>58</v>
      </c>
      <c r="C531" s="62">
        <v>1150227110</v>
      </c>
      <c r="D531" s="16"/>
      <c r="E531" s="75" t="s">
        <v>711</v>
      </c>
      <c r="F531" s="82">
        <f>F532</f>
        <v>523</v>
      </c>
      <c r="G531" s="82">
        <f t="shared" ref="G531:H531" si="179">G532</f>
        <v>0</v>
      </c>
      <c r="H531" s="82">
        <f t="shared" si="179"/>
        <v>0</v>
      </c>
    </row>
    <row r="532" spans="1:8" ht="76.5" x14ac:dyDescent="0.2">
      <c r="A532" s="16" t="s">
        <v>75</v>
      </c>
      <c r="B532" s="16" t="s">
        <v>58</v>
      </c>
      <c r="C532" s="62">
        <v>1150227110</v>
      </c>
      <c r="D532" s="16" t="s">
        <v>17</v>
      </c>
      <c r="E532" s="76" t="s">
        <v>151</v>
      </c>
      <c r="F532" s="82">
        <v>523</v>
      </c>
      <c r="G532" s="82">
        <v>0</v>
      </c>
      <c r="H532" s="82">
        <v>0</v>
      </c>
    </row>
    <row r="533" spans="1:8" ht="51" x14ac:dyDescent="0.2">
      <c r="A533" s="16" t="s">
        <v>75</v>
      </c>
      <c r="B533" s="16" t="s">
        <v>58</v>
      </c>
      <c r="C533" s="62">
        <v>1150225120</v>
      </c>
      <c r="D533" s="16"/>
      <c r="E533" s="76" t="s">
        <v>428</v>
      </c>
      <c r="F533" s="82">
        <f>F534</f>
        <v>774.7</v>
      </c>
      <c r="G533" s="82">
        <f t="shared" ref="G533:H533" si="180">G534</f>
        <v>406.4</v>
      </c>
      <c r="H533" s="82">
        <f t="shared" si="180"/>
        <v>406.4</v>
      </c>
    </row>
    <row r="534" spans="1:8" ht="25.5" x14ac:dyDescent="0.2">
      <c r="A534" s="16" t="s">
        <v>75</v>
      </c>
      <c r="B534" s="16" t="s">
        <v>58</v>
      </c>
      <c r="C534" s="62">
        <v>1150225120</v>
      </c>
      <c r="D534" s="65" t="s">
        <v>436</v>
      </c>
      <c r="E534" s="76" t="s">
        <v>437</v>
      </c>
      <c r="F534" s="82">
        <f>406.4+368.3</f>
        <v>774.7</v>
      </c>
      <c r="G534" s="82">
        <v>406.4</v>
      </c>
      <c r="H534" s="82">
        <v>406.4</v>
      </c>
    </row>
    <row r="535" spans="1:8" ht="25.5" x14ac:dyDescent="0.25">
      <c r="A535" s="5" t="s">
        <v>75</v>
      </c>
      <c r="B535" s="5" t="s">
        <v>58</v>
      </c>
      <c r="C535" s="66">
        <v>9900000000</v>
      </c>
      <c r="D535" s="143"/>
      <c r="E535" s="67" t="s">
        <v>104</v>
      </c>
      <c r="F535" s="86">
        <f>F536</f>
        <v>375</v>
      </c>
      <c r="G535" s="86">
        <f t="shared" ref="G535:H535" si="181">G536</f>
        <v>0</v>
      </c>
      <c r="H535" s="86">
        <f t="shared" si="181"/>
        <v>0</v>
      </c>
    </row>
    <row r="536" spans="1:8" ht="14.25" x14ac:dyDescent="0.2">
      <c r="A536" s="16" t="s">
        <v>75</v>
      </c>
      <c r="B536" s="16" t="s">
        <v>58</v>
      </c>
      <c r="C536" s="62">
        <v>9920000000</v>
      </c>
      <c r="D536" s="33"/>
      <c r="E536" s="93" t="s">
        <v>3</v>
      </c>
      <c r="F536" s="162">
        <f t="shared" ref="F536:H537" si="182">F537</f>
        <v>375</v>
      </c>
      <c r="G536" s="162">
        <f t="shared" si="182"/>
        <v>0</v>
      </c>
      <c r="H536" s="162">
        <f t="shared" si="182"/>
        <v>0</v>
      </c>
    </row>
    <row r="537" spans="1:8" ht="25.5" x14ac:dyDescent="0.2">
      <c r="A537" s="16" t="s">
        <v>75</v>
      </c>
      <c r="B537" s="16" t="s">
        <v>58</v>
      </c>
      <c r="C537" s="62">
        <v>9920026100</v>
      </c>
      <c r="D537" s="19"/>
      <c r="E537" s="76" t="s">
        <v>9</v>
      </c>
      <c r="F537" s="113">
        <f t="shared" si="182"/>
        <v>375</v>
      </c>
      <c r="G537" s="113">
        <f t="shared" si="182"/>
        <v>0</v>
      </c>
      <c r="H537" s="113">
        <f t="shared" si="182"/>
        <v>0</v>
      </c>
    </row>
    <row r="538" spans="1:8" x14ac:dyDescent="0.2">
      <c r="A538" s="16" t="s">
        <v>75</v>
      </c>
      <c r="B538" s="16" t="s">
        <v>58</v>
      </c>
      <c r="C538" s="62">
        <v>9920026100</v>
      </c>
      <c r="D538" s="65" t="s">
        <v>589</v>
      </c>
      <c r="E538" s="75" t="s">
        <v>590</v>
      </c>
      <c r="F538" s="113">
        <f>50+150+175</f>
        <v>375</v>
      </c>
      <c r="G538" s="113">
        <v>0</v>
      </c>
      <c r="H538" s="113">
        <v>0</v>
      </c>
    </row>
    <row r="539" spans="1:8" ht="14.25" x14ac:dyDescent="0.2">
      <c r="A539" s="33" t="s">
        <v>75</v>
      </c>
      <c r="B539" s="33" t="s">
        <v>59</v>
      </c>
      <c r="C539" s="33"/>
      <c r="D539" s="36"/>
      <c r="E539" s="44" t="s">
        <v>11</v>
      </c>
      <c r="F539" s="161">
        <f>F540+F544</f>
        <v>30328.5</v>
      </c>
      <c r="G539" s="161">
        <f>G540+G544</f>
        <v>14794.7</v>
      </c>
      <c r="H539" s="161">
        <f>H540+H544</f>
        <v>24854.6</v>
      </c>
    </row>
    <row r="540" spans="1:8" ht="89.25" x14ac:dyDescent="0.2">
      <c r="A540" s="16" t="s">
        <v>75</v>
      </c>
      <c r="B540" s="16" t="s">
        <v>59</v>
      </c>
      <c r="C540" s="19" t="s">
        <v>46</v>
      </c>
      <c r="D540" s="33"/>
      <c r="E540" s="126" t="s">
        <v>204</v>
      </c>
      <c r="F540" s="86">
        <f>F541</f>
        <v>8572</v>
      </c>
      <c r="G540" s="86">
        <f>G541</f>
        <v>8572</v>
      </c>
      <c r="H540" s="86">
        <f>H541</f>
        <v>8572</v>
      </c>
    </row>
    <row r="541" spans="1:8" ht="76.5" x14ac:dyDescent="0.2">
      <c r="A541" s="16" t="s">
        <v>75</v>
      </c>
      <c r="B541" s="16" t="s">
        <v>59</v>
      </c>
      <c r="C541" s="50" t="s">
        <v>296</v>
      </c>
      <c r="D541" s="19"/>
      <c r="E541" s="75" t="s">
        <v>160</v>
      </c>
      <c r="F541" s="162">
        <f>F542+F543</f>
        <v>8572</v>
      </c>
      <c r="G541" s="162">
        <f>G542+G543</f>
        <v>8572</v>
      </c>
      <c r="H541" s="162">
        <f>H542+H543</f>
        <v>8572</v>
      </c>
    </row>
    <row r="542" spans="1:8" ht="38.25" x14ac:dyDescent="0.2">
      <c r="A542" s="16" t="s">
        <v>75</v>
      </c>
      <c r="B542" s="16" t="s">
        <v>59</v>
      </c>
      <c r="C542" s="50" t="s">
        <v>296</v>
      </c>
      <c r="D542" s="65" t="s">
        <v>119</v>
      </c>
      <c r="E542" s="75" t="s">
        <v>120</v>
      </c>
      <c r="F542" s="162">
        <v>300</v>
      </c>
      <c r="G542" s="162">
        <v>300</v>
      </c>
      <c r="H542" s="162">
        <v>300</v>
      </c>
    </row>
    <row r="543" spans="1:8" ht="38.25" x14ac:dyDescent="0.2">
      <c r="A543" s="16" t="s">
        <v>75</v>
      </c>
      <c r="B543" s="16" t="s">
        <v>59</v>
      </c>
      <c r="C543" s="50" t="s">
        <v>296</v>
      </c>
      <c r="D543" s="65" t="s">
        <v>126</v>
      </c>
      <c r="E543" s="75" t="s">
        <v>125</v>
      </c>
      <c r="F543" s="162">
        <v>8272</v>
      </c>
      <c r="G543" s="162">
        <v>8272</v>
      </c>
      <c r="H543" s="162">
        <v>8272</v>
      </c>
    </row>
    <row r="544" spans="1:8" ht="91.5" customHeight="1" x14ac:dyDescent="0.25">
      <c r="A544" s="5" t="s">
        <v>75</v>
      </c>
      <c r="B544" s="5" t="s">
        <v>59</v>
      </c>
      <c r="C544" s="57" t="s">
        <v>27</v>
      </c>
      <c r="D544" s="3"/>
      <c r="E544" s="114" t="s">
        <v>214</v>
      </c>
      <c r="F544" s="158">
        <f>F545+F547+F549</f>
        <v>21756.5</v>
      </c>
      <c r="G544" s="158">
        <f t="shared" ref="G544:H544" si="183">G545+G547+G549</f>
        <v>6222.7000000000007</v>
      </c>
      <c r="H544" s="158">
        <f t="shared" si="183"/>
        <v>16282.6</v>
      </c>
    </row>
    <row r="545" spans="1:8" ht="26.25" x14ac:dyDescent="0.25">
      <c r="A545" s="16" t="s">
        <v>75</v>
      </c>
      <c r="B545" s="16" t="s">
        <v>59</v>
      </c>
      <c r="C545" s="19" t="s">
        <v>427</v>
      </c>
      <c r="D545" s="3"/>
      <c r="E545" s="148" t="s">
        <v>425</v>
      </c>
      <c r="F545" s="82">
        <f t="shared" ref="F545:H545" si="184">F546</f>
        <v>0</v>
      </c>
      <c r="G545" s="82">
        <f t="shared" si="184"/>
        <v>663.5</v>
      </c>
      <c r="H545" s="82">
        <f t="shared" si="184"/>
        <v>1683.7</v>
      </c>
    </row>
    <row r="546" spans="1:8" x14ac:dyDescent="0.2">
      <c r="A546" s="16" t="s">
        <v>75</v>
      </c>
      <c r="B546" s="16" t="s">
        <v>59</v>
      </c>
      <c r="C546" s="19" t="s">
        <v>427</v>
      </c>
      <c r="D546" s="65" t="s">
        <v>124</v>
      </c>
      <c r="E546" s="77" t="s">
        <v>123</v>
      </c>
      <c r="F546" s="82">
        <f>732.1+3121.7+48.3-3902.1</f>
        <v>0</v>
      </c>
      <c r="G546" s="82">
        <v>663.5</v>
      </c>
      <c r="H546" s="82">
        <v>1683.7</v>
      </c>
    </row>
    <row r="547" spans="1:8" ht="51" x14ac:dyDescent="0.2">
      <c r="A547" s="16" t="s">
        <v>75</v>
      </c>
      <c r="B547" s="16" t="s">
        <v>59</v>
      </c>
      <c r="C547" s="58" t="s">
        <v>431</v>
      </c>
      <c r="D547" s="16"/>
      <c r="E547" s="75" t="s">
        <v>430</v>
      </c>
      <c r="F547" s="113">
        <f>F548</f>
        <v>9203.1</v>
      </c>
      <c r="G547" s="113">
        <f>G548</f>
        <v>3681.3</v>
      </c>
      <c r="H547" s="113">
        <f>H548</f>
        <v>12884.3</v>
      </c>
    </row>
    <row r="548" spans="1:8" x14ac:dyDescent="0.2">
      <c r="A548" s="16" t="s">
        <v>75</v>
      </c>
      <c r="B548" s="16" t="s">
        <v>59</v>
      </c>
      <c r="C548" s="58" t="s">
        <v>431</v>
      </c>
      <c r="D548" s="65" t="s">
        <v>124</v>
      </c>
      <c r="E548" s="77" t="s">
        <v>123</v>
      </c>
      <c r="F548" s="162">
        <f>7362.5+1840.6</f>
        <v>9203.1</v>
      </c>
      <c r="G548" s="162">
        <v>3681.3</v>
      </c>
      <c r="H548" s="162">
        <v>12884.3</v>
      </c>
    </row>
    <row r="549" spans="1:8" ht="51" x14ac:dyDescent="0.2">
      <c r="A549" s="16" t="s">
        <v>75</v>
      </c>
      <c r="B549" s="16" t="s">
        <v>59</v>
      </c>
      <c r="C549" s="58" t="s">
        <v>433</v>
      </c>
      <c r="D549" s="16"/>
      <c r="E549" s="75" t="s">
        <v>520</v>
      </c>
      <c r="F549" s="162">
        <f t="shared" ref="F549:H549" si="185">F550</f>
        <v>12553.400000000001</v>
      </c>
      <c r="G549" s="162">
        <f t="shared" si="185"/>
        <v>1877.9</v>
      </c>
      <c r="H549" s="162">
        <f t="shared" si="185"/>
        <v>1714.6</v>
      </c>
    </row>
    <row r="550" spans="1:8" ht="38.25" x14ac:dyDescent="0.2">
      <c r="A550" s="16" t="s">
        <v>75</v>
      </c>
      <c r="B550" s="16" t="s">
        <v>59</v>
      </c>
      <c r="C550" s="58" t="s">
        <v>433</v>
      </c>
      <c r="D550" s="65" t="s">
        <v>126</v>
      </c>
      <c r="E550" s="75" t="s">
        <v>125</v>
      </c>
      <c r="F550" s="162">
        <f>2510.7+10042.7</f>
        <v>12553.400000000001</v>
      </c>
      <c r="G550" s="162">
        <v>1877.9</v>
      </c>
      <c r="H550" s="162">
        <v>1714.6</v>
      </c>
    </row>
    <row r="551" spans="1:8" ht="15.75" x14ac:dyDescent="0.25">
      <c r="A551" s="4" t="s">
        <v>67</v>
      </c>
      <c r="B551" s="3"/>
      <c r="C551" s="3"/>
      <c r="D551" s="3"/>
      <c r="E551" s="43" t="s">
        <v>88</v>
      </c>
      <c r="F551" s="156">
        <f t="shared" ref="F551:H552" si="186">F552</f>
        <v>861.5</v>
      </c>
      <c r="G551" s="156">
        <f t="shared" si="186"/>
        <v>861.5</v>
      </c>
      <c r="H551" s="156">
        <f t="shared" si="186"/>
        <v>861.5</v>
      </c>
    </row>
    <row r="552" spans="1:8" ht="14.25" x14ac:dyDescent="0.2">
      <c r="A552" s="33" t="s">
        <v>67</v>
      </c>
      <c r="B552" s="33" t="s">
        <v>54</v>
      </c>
      <c r="C552" s="33"/>
      <c r="D552" s="33"/>
      <c r="E552" s="40" t="s">
        <v>4</v>
      </c>
      <c r="F552" s="161">
        <f t="shared" si="186"/>
        <v>861.5</v>
      </c>
      <c r="G552" s="161">
        <f t="shared" si="186"/>
        <v>861.5</v>
      </c>
      <c r="H552" s="161">
        <f t="shared" si="186"/>
        <v>861.5</v>
      </c>
    </row>
    <row r="553" spans="1:8" ht="89.25" x14ac:dyDescent="0.2">
      <c r="A553" s="16" t="s">
        <v>67</v>
      </c>
      <c r="B553" s="16" t="s">
        <v>54</v>
      </c>
      <c r="C553" s="57" t="s">
        <v>38</v>
      </c>
      <c r="D553" s="33"/>
      <c r="E553" s="115" t="s">
        <v>205</v>
      </c>
      <c r="F553" s="164">
        <f>F554+F557</f>
        <v>861.5</v>
      </c>
      <c r="G553" s="164">
        <f>G554+G557</f>
        <v>861.5</v>
      </c>
      <c r="H553" s="164">
        <f>H554+H557</f>
        <v>861.5</v>
      </c>
    </row>
    <row r="554" spans="1:8" ht="89.25" x14ac:dyDescent="0.2">
      <c r="A554" s="16" t="s">
        <v>67</v>
      </c>
      <c r="B554" s="16" t="s">
        <v>54</v>
      </c>
      <c r="C554" s="19" t="s">
        <v>469</v>
      </c>
      <c r="D554" s="19"/>
      <c r="E554" s="76" t="s">
        <v>467</v>
      </c>
      <c r="F554" s="113">
        <f>SUM(F555:F556)</f>
        <v>750.5</v>
      </c>
      <c r="G554" s="113">
        <f t="shared" ref="G554:H554" si="187">SUM(G555:G556)</f>
        <v>750.5</v>
      </c>
      <c r="H554" s="113">
        <f t="shared" si="187"/>
        <v>750.5</v>
      </c>
    </row>
    <row r="555" spans="1:8" ht="25.5" x14ac:dyDescent="0.2">
      <c r="A555" s="16" t="s">
        <v>67</v>
      </c>
      <c r="B555" s="16" t="s">
        <v>54</v>
      </c>
      <c r="C555" s="19" t="s">
        <v>469</v>
      </c>
      <c r="D555" s="65" t="s">
        <v>42</v>
      </c>
      <c r="E555" s="48" t="s">
        <v>95</v>
      </c>
      <c r="F555" s="113">
        <v>70</v>
      </c>
      <c r="G555" s="113">
        <v>70</v>
      </c>
      <c r="H555" s="113">
        <v>70</v>
      </c>
    </row>
    <row r="556" spans="1:8" ht="38.25" x14ac:dyDescent="0.2">
      <c r="A556" s="16" t="s">
        <v>67</v>
      </c>
      <c r="B556" s="16" t="s">
        <v>54</v>
      </c>
      <c r="C556" s="19" t="s">
        <v>469</v>
      </c>
      <c r="D556" s="65" t="s">
        <v>119</v>
      </c>
      <c r="E556" s="75" t="s">
        <v>120</v>
      </c>
      <c r="F556" s="113">
        <v>680.5</v>
      </c>
      <c r="G556" s="113">
        <v>680.5</v>
      </c>
      <c r="H556" s="113">
        <v>680.5</v>
      </c>
    </row>
    <row r="557" spans="1:8" ht="63.75" x14ac:dyDescent="0.2">
      <c r="A557" s="16" t="s">
        <v>67</v>
      </c>
      <c r="B557" s="16" t="s">
        <v>54</v>
      </c>
      <c r="C557" s="19" t="s">
        <v>470</v>
      </c>
      <c r="D557" s="19"/>
      <c r="E557" s="76" t="s">
        <v>39</v>
      </c>
      <c r="F557" s="113">
        <f>SUM(F558:F559)</f>
        <v>111</v>
      </c>
      <c r="G557" s="113">
        <f t="shared" ref="G557:H557" si="188">SUM(G558:G559)</f>
        <v>111</v>
      </c>
      <c r="H557" s="113">
        <f t="shared" si="188"/>
        <v>111</v>
      </c>
    </row>
    <row r="558" spans="1:8" ht="25.5" x14ac:dyDescent="0.2">
      <c r="A558" s="16" t="s">
        <v>67</v>
      </c>
      <c r="B558" s="16" t="s">
        <v>54</v>
      </c>
      <c r="C558" s="19" t="s">
        <v>470</v>
      </c>
      <c r="D558" s="65" t="s">
        <v>42</v>
      </c>
      <c r="E558" s="48" t="s">
        <v>95</v>
      </c>
      <c r="F558" s="113">
        <v>76</v>
      </c>
      <c r="G558" s="113">
        <v>76</v>
      </c>
      <c r="H558" s="113">
        <v>76</v>
      </c>
    </row>
    <row r="559" spans="1:8" ht="38.25" x14ac:dyDescent="0.2">
      <c r="A559" s="16" t="s">
        <v>67</v>
      </c>
      <c r="B559" s="16" t="s">
        <v>54</v>
      </c>
      <c r="C559" s="19" t="s">
        <v>470</v>
      </c>
      <c r="D559" s="65" t="s">
        <v>119</v>
      </c>
      <c r="E559" s="75" t="s">
        <v>120</v>
      </c>
      <c r="F559" s="113">
        <v>35</v>
      </c>
      <c r="G559" s="113">
        <v>35</v>
      </c>
      <c r="H559" s="113">
        <v>35</v>
      </c>
    </row>
    <row r="560" spans="1:8" ht="30" x14ac:dyDescent="0.25">
      <c r="A560" s="4" t="s">
        <v>87</v>
      </c>
      <c r="B560" s="3"/>
      <c r="C560" s="3"/>
      <c r="D560" s="3"/>
      <c r="E560" s="43" t="s">
        <v>6</v>
      </c>
      <c r="F560" s="156">
        <f t="shared" ref="F560:H561" si="189">F561</f>
        <v>6154.2999999999993</v>
      </c>
      <c r="G560" s="156">
        <f t="shared" si="189"/>
        <v>4893.3999999999996</v>
      </c>
      <c r="H560" s="156">
        <f t="shared" si="189"/>
        <v>4954.7</v>
      </c>
    </row>
    <row r="561" spans="1:8" ht="28.5" x14ac:dyDescent="0.2">
      <c r="A561" s="33" t="s">
        <v>87</v>
      </c>
      <c r="B561" s="33" t="s">
        <v>59</v>
      </c>
      <c r="C561" s="33"/>
      <c r="D561" s="33"/>
      <c r="E561" s="44" t="s">
        <v>12</v>
      </c>
      <c r="F561" s="160">
        <f t="shared" si="189"/>
        <v>6154.2999999999993</v>
      </c>
      <c r="G561" s="160">
        <f t="shared" si="189"/>
        <v>4893.3999999999996</v>
      </c>
      <c r="H561" s="160">
        <f t="shared" si="189"/>
        <v>4954.7</v>
      </c>
    </row>
    <row r="562" spans="1:8" ht="95.45" customHeight="1" x14ac:dyDescent="0.2">
      <c r="A562" s="16" t="s">
        <v>87</v>
      </c>
      <c r="B562" s="16" t="s">
        <v>59</v>
      </c>
      <c r="C562" s="58">
        <v>400000000</v>
      </c>
      <c r="D562" s="28"/>
      <c r="E562" s="115" t="s">
        <v>207</v>
      </c>
      <c r="F562" s="86">
        <f>F563+F565+F567+F569+F571</f>
        <v>6154.2999999999993</v>
      </c>
      <c r="G562" s="86">
        <f t="shared" ref="G562:H562" si="190">G563+G565+G567+G569+G571</f>
        <v>4893.3999999999996</v>
      </c>
      <c r="H562" s="86">
        <f t="shared" si="190"/>
        <v>4954.7</v>
      </c>
    </row>
    <row r="563" spans="1:8" ht="25.15" customHeight="1" x14ac:dyDescent="0.2">
      <c r="A563" s="16" t="s">
        <v>87</v>
      </c>
      <c r="B563" s="16" t="s">
        <v>59</v>
      </c>
      <c r="C563" s="58" t="s">
        <v>386</v>
      </c>
      <c r="D563" s="16"/>
      <c r="E563" s="76" t="s">
        <v>385</v>
      </c>
      <c r="F563" s="82">
        <f>F564</f>
        <v>2587.9</v>
      </c>
      <c r="G563" s="82">
        <f t="shared" ref="G563:H563" si="191">G564</f>
        <v>1630.7</v>
      </c>
      <c r="H563" s="82">
        <f t="shared" si="191"/>
        <v>1630.7</v>
      </c>
    </row>
    <row r="564" spans="1:8" ht="76.5" x14ac:dyDescent="0.2">
      <c r="A564" s="16" t="s">
        <v>87</v>
      </c>
      <c r="B564" s="16" t="s">
        <v>59</v>
      </c>
      <c r="C564" s="58" t="s">
        <v>386</v>
      </c>
      <c r="D564" s="16" t="s">
        <v>17</v>
      </c>
      <c r="E564" s="76" t="s">
        <v>151</v>
      </c>
      <c r="F564" s="82">
        <f>1630.7+270+528.6+158.6</f>
        <v>2587.9</v>
      </c>
      <c r="G564" s="82">
        <v>1630.7</v>
      </c>
      <c r="H564" s="82">
        <v>1630.7</v>
      </c>
    </row>
    <row r="565" spans="1:8" ht="63.75" x14ac:dyDescent="0.2">
      <c r="A565" s="16" t="s">
        <v>87</v>
      </c>
      <c r="B565" s="16" t="s">
        <v>59</v>
      </c>
      <c r="C565" s="58">
        <v>450123340</v>
      </c>
      <c r="D565" s="16"/>
      <c r="E565" s="76" t="s">
        <v>190</v>
      </c>
      <c r="F565" s="82">
        <f>F566</f>
        <v>1710</v>
      </c>
      <c r="G565" s="82">
        <f t="shared" ref="G565:H565" si="192">G566</f>
        <v>1710</v>
      </c>
      <c r="H565" s="82">
        <f t="shared" si="192"/>
        <v>1710</v>
      </c>
    </row>
    <row r="566" spans="1:8" ht="38.25" x14ac:dyDescent="0.2">
      <c r="A566" s="16" t="s">
        <v>87</v>
      </c>
      <c r="B566" s="16" t="s">
        <v>59</v>
      </c>
      <c r="C566" s="58">
        <v>450123340</v>
      </c>
      <c r="D566" s="65" t="s">
        <v>119</v>
      </c>
      <c r="E566" s="75" t="s">
        <v>120</v>
      </c>
      <c r="F566" s="82">
        <v>1710</v>
      </c>
      <c r="G566" s="82">
        <v>1710</v>
      </c>
      <c r="H566" s="82">
        <v>1710</v>
      </c>
    </row>
    <row r="567" spans="1:8" ht="39.6" customHeight="1" x14ac:dyDescent="0.2">
      <c r="A567" s="16" t="s">
        <v>87</v>
      </c>
      <c r="B567" s="16" t="s">
        <v>59</v>
      </c>
      <c r="C567" s="58" t="s">
        <v>387</v>
      </c>
      <c r="D567" s="16"/>
      <c r="E567" s="76" t="s">
        <v>388</v>
      </c>
      <c r="F567" s="82">
        <f>F568</f>
        <v>92</v>
      </c>
      <c r="G567" s="82">
        <f t="shared" ref="G567:H567" si="193">G568</f>
        <v>30</v>
      </c>
      <c r="H567" s="82">
        <f t="shared" si="193"/>
        <v>30</v>
      </c>
    </row>
    <row r="568" spans="1:8" ht="51" customHeight="1" x14ac:dyDescent="0.2">
      <c r="A568" s="16" t="s">
        <v>87</v>
      </c>
      <c r="B568" s="16" t="s">
        <v>59</v>
      </c>
      <c r="C568" s="58" t="s">
        <v>387</v>
      </c>
      <c r="D568" s="16" t="s">
        <v>17</v>
      </c>
      <c r="E568" s="76" t="s">
        <v>151</v>
      </c>
      <c r="F568" s="82">
        <f>30+62</f>
        <v>92</v>
      </c>
      <c r="G568" s="82">
        <v>30</v>
      </c>
      <c r="H568" s="82">
        <v>30</v>
      </c>
    </row>
    <row r="569" spans="1:8" ht="77.25" customHeight="1" x14ac:dyDescent="0.2">
      <c r="A569" s="16" t="s">
        <v>87</v>
      </c>
      <c r="B569" s="16" t="s">
        <v>59</v>
      </c>
      <c r="C569" s="19" t="s">
        <v>390</v>
      </c>
      <c r="D569" s="28"/>
      <c r="E569" s="75" t="s">
        <v>389</v>
      </c>
      <c r="F569" s="82">
        <f>F570</f>
        <v>1182</v>
      </c>
      <c r="G569" s="82">
        <f>G570</f>
        <v>917</v>
      </c>
      <c r="H569" s="82">
        <f>H570</f>
        <v>954</v>
      </c>
    </row>
    <row r="570" spans="1:8" ht="38.25" x14ac:dyDescent="0.2">
      <c r="A570" s="16" t="s">
        <v>87</v>
      </c>
      <c r="B570" s="16" t="s">
        <v>59</v>
      </c>
      <c r="C570" s="19" t="s">
        <v>390</v>
      </c>
      <c r="D570" s="65" t="s">
        <v>119</v>
      </c>
      <c r="E570" s="75" t="s">
        <v>120</v>
      </c>
      <c r="F570" s="82">
        <f>882+500-200</f>
        <v>1182</v>
      </c>
      <c r="G570" s="82">
        <v>917</v>
      </c>
      <c r="H570" s="82">
        <v>954</v>
      </c>
    </row>
    <row r="571" spans="1:8" ht="63.75" x14ac:dyDescent="0.2">
      <c r="A571" s="16" t="s">
        <v>87</v>
      </c>
      <c r="B571" s="16" t="s">
        <v>59</v>
      </c>
      <c r="C571" s="58">
        <v>450123360</v>
      </c>
      <c r="D571" s="65"/>
      <c r="E571" s="75" t="s">
        <v>391</v>
      </c>
      <c r="F571" s="82">
        <f>F572</f>
        <v>582.4</v>
      </c>
      <c r="G571" s="82">
        <f t="shared" ref="G571:H571" si="194">G572</f>
        <v>605.70000000000005</v>
      </c>
      <c r="H571" s="82">
        <f t="shared" si="194"/>
        <v>630</v>
      </c>
    </row>
    <row r="572" spans="1:8" ht="38.25" x14ac:dyDescent="0.2">
      <c r="A572" s="16" t="s">
        <v>87</v>
      </c>
      <c r="B572" s="16" t="s">
        <v>59</v>
      </c>
      <c r="C572" s="58">
        <v>450123360</v>
      </c>
      <c r="D572" s="65" t="s">
        <v>119</v>
      </c>
      <c r="E572" s="75" t="s">
        <v>120</v>
      </c>
      <c r="F572" s="82">
        <v>582.4</v>
      </c>
      <c r="G572" s="82">
        <v>605.70000000000005</v>
      </c>
      <c r="H572" s="82">
        <v>630</v>
      </c>
    </row>
  </sheetData>
  <mergeCells count="9">
    <mergeCell ref="A19:H19"/>
    <mergeCell ref="A22:A24"/>
    <mergeCell ref="B22:B24"/>
    <mergeCell ref="C22:C24"/>
    <mergeCell ref="D22:D24"/>
    <mergeCell ref="E22:E24"/>
    <mergeCell ref="F22:H22"/>
    <mergeCell ref="F23:F24"/>
    <mergeCell ref="G23:H23"/>
  </mergeCells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H64"/>
  <sheetViews>
    <sheetView view="pageBreakPreview" zoomScale="60" zoomScaleNormal="100" workbookViewId="0">
      <selection activeCell="D7" sqref="D7"/>
    </sheetView>
  </sheetViews>
  <sheetFormatPr defaultColWidth="9.140625" defaultRowHeight="12.75" x14ac:dyDescent="0.2"/>
  <cols>
    <col min="1" max="1" width="6.42578125" customWidth="1"/>
    <col min="2" max="2" width="5.5703125" customWidth="1"/>
    <col min="3" max="3" width="39.7109375" customWidth="1"/>
    <col min="4" max="4" width="11.85546875" customWidth="1"/>
    <col min="5" max="5" width="12" customWidth="1"/>
    <col min="6" max="6" width="11.7109375" customWidth="1"/>
  </cols>
  <sheetData>
    <row r="1" spans="3:6" x14ac:dyDescent="0.2">
      <c r="C1" s="179" t="s">
        <v>136</v>
      </c>
      <c r="D1" s="179"/>
      <c r="E1" s="180"/>
      <c r="F1" s="71"/>
    </row>
    <row r="2" spans="3:6" x14ac:dyDescent="0.2">
      <c r="C2" s="179" t="s">
        <v>579</v>
      </c>
      <c r="D2" s="179"/>
      <c r="E2" s="180"/>
      <c r="F2" s="71"/>
    </row>
    <row r="3" spans="3:6" x14ac:dyDescent="0.2">
      <c r="C3" s="249" t="s">
        <v>718</v>
      </c>
      <c r="D3" s="249"/>
      <c r="E3" s="249"/>
      <c r="F3" s="249"/>
    </row>
    <row r="4" spans="3:6" x14ac:dyDescent="0.2">
      <c r="C4" s="179" t="s">
        <v>575</v>
      </c>
      <c r="D4" s="179"/>
      <c r="E4" s="180"/>
      <c r="F4" s="71"/>
    </row>
    <row r="5" spans="3:6" x14ac:dyDescent="0.2">
      <c r="C5" s="179" t="s">
        <v>576</v>
      </c>
      <c r="D5" s="179"/>
      <c r="E5" s="180"/>
      <c r="F5" s="71"/>
    </row>
    <row r="6" spans="3:6" x14ac:dyDescent="0.2">
      <c r="C6" s="246" t="s">
        <v>580</v>
      </c>
      <c r="D6" s="247"/>
      <c r="E6" s="247"/>
      <c r="F6" s="248"/>
    </row>
    <row r="7" spans="3:6" x14ac:dyDescent="0.2">
      <c r="C7" s="179" t="s">
        <v>199</v>
      </c>
      <c r="D7" s="180"/>
      <c r="E7" s="180"/>
    </row>
    <row r="8" spans="3:6" x14ac:dyDescent="0.2">
      <c r="C8" s="179" t="s">
        <v>577</v>
      </c>
      <c r="D8" s="180"/>
      <c r="E8" s="180"/>
    </row>
    <row r="9" spans="3:6" x14ac:dyDescent="0.2">
      <c r="C9" s="179" t="s">
        <v>578</v>
      </c>
      <c r="D9" s="180"/>
      <c r="E9" s="180"/>
    </row>
    <row r="10" spans="3:6" x14ac:dyDescent="0.2">
      <c r="C10" s="68"/>
      <c r="D10" s="38"/>
    </row>
    <row r="11" spans="3:6" x14ac:dyDescent="0.2">
      <c r="C11" s="179" t="s">
        <v>136</v>
      </c>
    </row>
    <row r="12" spans="3:6" x14ac:dyDescent="0.2">
      <c r="C12" s="179" t="s">
        <v>579</v>
      </c>
    </row>
    <row r="13" spans="3:6" x14ac:dyDescent="0.2">
      <c r="C13" s="179" t="s">
        <v>581</v>
      </c>
    </row>
    <row r="14" spans="3:6" x14ac:dyDescent="0.2">
      <c r="C14" s="179" t="s">
        <v>199</v>
      </c>
    </row>
    <row r="15" spans="3:6" x14ac:dyDescent="0.2">
      <c r="C15" s="179" t="s">
        <v>573</v>
      </c>
    </row>
    <row r="16" spans="3:6" x14ac:dyDescent="0.2">
      <c r="C16" s="179" t="s">
        <v>574</v>
      </c>
    </row>
    <row r="17" spans="1:8" x14ac:dyDescent="0.2">
      <c r="C17" s="68"/>
      <c r="D17" s="38"/>
    </row>
    <row r="18" spans="1:8" x14ac:dyDescent="0.2">
      <c r="C18" s="68"/>
      <c r="D18" s="38"/>
    </row>
    <row r="19" spans="1:8" ht="74.25" customHeight="1" x14ac:dyDescent="0.2">
      <c r="A19" s="220" t="s">
        <v>515</v>
      </c>
      <c r="B19" s="243"/>
      <c r="C19" s="243"/>
      <c r="D19" s="243"/>
      <c r="E19" s="243"/>
      <c r="F19" s="243"/>
    </row>
    <row r="20" spans="1:8" ht="15" x14ac:dyDescent="0.2">
      <c r="A20" s="107"/>
      <c r="B20" s="109"/>
      <c r="C20" s="109"/>
      <c r="D20" s="109"/>
      <c r="E20" s="109"/>
      <c r="F20" s="109"/>
    </row>
    <row r="21" spans="1:8" x14ac:dyDescent="0.2">
      <c r="D21" s="6"/>
    </row>
    <row r="22" spans="1:8" x14ac:dyDescent="0.2">
      <c r="A22" s="226" t="s">
        <v>221</v>
      </c>
      <c r="B22" s="226" t="s">
        <v>222</v>
      </c>
      <c r="C22" s="236" t="s">
        <v>127</v>
      </c>
      <c r="D22" s="232" t="s">
        <v>24</v>
      </c>
      <c r="E22" s="219"/>
      <c r="F22" s="219"/>
    </row>
    <row r="23" spans="1:8" x14ac:dyDescent="0.2">
      <c r="A23" s="227"/>
      <c r="B23" s="227"/>
      <c r="C23" s="237"/>
      <c r="D23" s="236" t="s">
        <v>189</v>
      </c>
      <c r="E23" s="219" t="s">
        <v>101</v>
      </c>
      <c r="F23" s="219"/>
    </row>
    <row r="24" spans="1:8" x14ac:dyDescent="0.2">
      <c r="A24" s="228"/>
      <c r="B24" s="228"/>
      <c r="C24" s="238"/>
      <c r="D24" s="238"/>
      <c r="E24" s="103" t="s">
        <v>198</v>
      </c>
      <c r="F24" s="103" t="s">
        <v>219</v>
      </c>
    </row>
    <row r="25" spans="1:8" x14ac:dyDescent="0.2">
      <c r="A25" s="2">
        <v>3</v>
      </c>
      <c r="B25" s="2">
        <v>4</v>
      </c>
      <c r="C25" s="2">
        <v>5</v>
      </c>
      <c r="D25" s="2">
        <v>6</v>
      </c>
      <c r="E25" s="2">
        <v>7</v>
      </c>
      <c r="F25" s="2">
        <v>8</v>
      </c>
    </row>
    <row r="26" spans="1:8" ht="18" x14ac:dyDescent="0.25">
      <c r="A26" s="2"/>
      <c r="B26" s="2"/>
      <c r="C26" s="9" t="s">
        <v>57</v>
      </c>
      <c r="D26" s="169">
        <f>D27+D56</f>
        <v>1923640.2999999998</v>
      </c>
      <c r="E26" s="169">
        <f t="shared" ref="E26:F26" si="0">E27+E56</f>
        <v>1657947.5</v>
      </c>
      <c r="F26" s="169">
        <f t="shared" si="0"/>
        <v>1651295.1</v>
      </c>
      <c r="G26" s="78"/>
      <c r="H26" s="78"/>
    </row>
    <row r="27" spans="1:8" ht="15.75" x14ac:dyDescent="0.25">
      <c r="A27" s="2"/>
      <c r="B27" s="2"/>
      <c r="C27" s="3" t="s">
        <v>150</v>
      </c>
      <c r="D27" s="169">
        <f>D28+D30+D32+D34+D36+D38+D40+D42+D44+D46+D48+D50+D52+D54</f>
        <v>1712913.1999999997</v>
      </c>
      <c r="E27" s="169">
        <f t="shared" ref="E27:F27" si="1">E28+E30+E32+E34+E36+E38+E40+E42+E44+E46+E48+E50+E52+E54</f>
        <v>1472457.6</v>
      </c>
      <c r="F27" s="169">
        <f t="shared" si="1"/>
        <v>1465628</v>
      </c>
      <c r="G27" s="78"/>
      <c r="H27" s="78"/>
    </row>
    <row r="28" spans="1:8" ht="90" x14ac:dyDescent="0.2">
      <c r="A28" s="19" t="s">
        <v>53</v>
      </c>
      <c r="B28" s="33"/>
      <c r="C28" s="120" t="s">
        <v>204</v>
      </c>
      <c r="D28" s="162">
        <f>D29</f>
        <v>912540.29999999993</v>
      </c>
      <c r="E28" s="162">
        <f t="shared" ref="E28:F28" si="2">E29</f>
        <v>898388.6</v>
      </c>
      <c r="F28" s="162">
        <f t="shared" si="2"/>
        <v>899977.7</v>
      </c>
      <c r="G28" s="78"/>
      <c r="H28" s="78"/>
    </row>
    <row r="29" spans="1:8" ht="60.75" customHeight="1" x14ac:dyDescent="0.25">
      <c r="A29" s="61" t="s">
        <v>53</v>
      </c>
      <c r="B29" s="121" t="s">
        <v>223</v>
      </c>
      <c r="C29" s="122" t="s">
        <v>226</v>
      </c>
      <c r="D29" s="164">
        <f>901554.4+500+50+56+6228.7+2057.2+693.6+85+1315.4</f>
        <v>912540.29999999993</v>
      </c>
      <c r="E29" s="164">
        <f>896331.4+2057.2</f>
        <v>898388.6</v>
      </c>
      <c r="F29" s="164">
        <f>897920.5+2057.2</f>
        <v>899977.7</v>
      </c>
    </row>
    <row r="30" spans="1:8" ht="87" customHeight="1" x14ac:dyDescent="0.2">
      <c r="A30" s="19" t="s">
        <v>54</v>
      </c>
      <c r="B30" s="117"/>
      <c r="C30" s="119" t="s">
        <v>205</v>
      </c>
      <c r="D30" s="162">
        <f>D31</f>
        <v>181768.80000000002</v>
      </c>
      <c r="E30" s="162">
        <f t="shared" ref="E30:F30" si="3">E31</f>
        <v>168675.9</v>
      </c>
      <c r="F30" s="162">
        <f t="shared" si="3"/>
        <v>168675.9</v>
      </c>
    </row>
    <row r="31" spans="1:8" ht="72.75" customHeight="1" x14ac:dyDescent="0.25">
      <c r="A31" s="121" t="s">
        <v>54</v>
      </c>
      <c r="B31" s="121" t="s">
        <v>224</v>
      </c>
      <c r="C31" s="122" t="s">
        <v>225</v>
      </c>
      <c r="D31" s="164">
        <f>173308+230+27.2+6221.5+1+245.3+787.1+85+863.7</f>
        <v>181768.80000000002</v>
      </c>
      <c r="E31" s="164">
        <f>167888.8+787.1</f>
        <v>168675.9</v>
      </c>
      <c r="F31" s="164">
        <f>167888.8+787.1</f>
        <v>168675.9</v>
      </c>
    </row>
    <row r="32" spans="1:8" ht="93.75" customHeight="1" x14ac:dyDescent="0.2">
      <c r="A32" s="19" t="s">
        <v>58</v>
      </c>
      <c r="B32" s="16"/>
      <c r="C32" s="120" t="s">
        <v>206</v>
      </c>
      <c r="D32" s="113">
        <f>D33</f>
        <v>19917.399999999998</v>
      </c>
      <c r="E32" s="113">
        <f t="shared" ref="E32:F32" si="4">E33</f>
        <v>12942.5</v>
      </c>
      <c r="F32" s="113">
        <f t="shared" si="4"/>
        <v>7700.3</v>
      </c>
    </row>
    <row r="33" spans="1:6" ht="45" x14ac:dyDescent="0.25">
      <c r="A33" s="57" t="s">
        <v>58</v>
      </c>
      <c r="B33" s="5" t="s">
        <v>228</v>
      </c>
      <c r="C33" s="43" t="s">
        <v>227</v>
      </c>
      <c r="D33" s="86">
        <f>17324.1+2060.5+4668.1-100-2401.9-1854.6+221.3-0.1</f>
        <v>19917.399999999998</v>
      </c>
      <c r="E33" s="86">
        <v>12942.5</v>
      </c>
      <c r="F33" s="86">
        <v>7700.3</v>
      </c>
    </row>
    <row r="34" spans="1:6" ht="91.15" customHeight="1" x14ac:dyDescent="0.2">
      <c r="A34" s="19" t="s">
        <v>59</v>
      </c>
      <c r="B34" s="28"/>
      <c r="C34" s="120" t="s">
        <v>207</v>
      </c>
      <c r="D34" s="113">
        <f>D35</f>
        <v>39299</v>
      </c>
      <c r="E34" s="113">
        <f t="shared" ref="E34:F34" si="5">E35</f>
        <v>26486.6</v>
      </c>
      <c r="F34" s="113">
        <f t="shared" si="5"/>
        <v>22059</v>
      </c>
    </row>
    <row r="35" spans="1:6" ht="45" x14ac:dyDescent="0.25">
      <c r="A35" s="57" t="s">
        <v>59</v>
      </c>
      <c r="B35" s="5" t="s">
        <v>228</v>
      </c>
      <c r="C35" s="43" t="s">
        <v>227</v>
      </c>
      <c r="D35" s="86">
        <f>32307.4+7108.3+62-0.1+70-935.8+528.6+158.6</f>
        <v>39299</v>
      </c>
      <c r="E35" s="86">
        <v>26486.6</v>
      </c>
      <c r="F35" s="86">
        <v>22059</v>
      </c>
    </row>
    <row r="36" spans="1:6" ht="90" customHeight="1" x14ac:dyDescent="0.2">
      <c r="A36" s="19" t="s">
        <v>60</v>
      </c>
      <c r="B36" s="16"/>
      <c r="C36" s="120" t="s">
        <v>208</v>
      </c>
      <c r="D36" s="113">
        <f>D37</f>
        <v>7668.7</v>
      </c>
      <c r="E36" s="113">
        <f t="shared" ref="E36:F36" si="6">E37</f>
        <v>9971.2999999999993</v>
      </c>
      <c r="F36" s="113">
        <f t="shared" si="6"/>
        <v>8553.7999999999993</v>
      </c>
    </row>
    <row r="37" spans="1:6" ht="45" x14ac:dyDescent="0.25">
      <c r="A37" s="57" t="s">
        <v>60</v>
      </c>
      <c r="B37" s="5" t="s">
        <v>228</v>
      </c>
      <c r="C37" s="43" t="s">
        <v>227</v>
      </c>
      <c r="D37" s="88">
        <f>9319.5-1650.8</f>
        <v>7668.7</v>
      </c>
      <c r="E37" s="88">
        <v>9971.2999999999993</v>
      </c>
      <c r="F37" s="88">
        <v>8553.7999999999993</v>
      </c>
    </row>
    <row r="38" spans="1:6" ht="108" customHeight="1" x14ac:dyDescent="0.2">
      <c r="A38" s="19" t="s">
        <v>61</v>
      </c>
      <c r="B38" s="16"/>
      <c r="C38" s="120" t="s">
        <v>209</v>
      </c>
      <c r="D38" s="113">
        <f>D39</f>
        <v>96330.3</v>
      </c>
      <c r="E38" s="113">
        <f t="shared" ref="E38:F38" si="7">E39</f>
        <v>39514.5</v>
      </c>
      <c r="F38" s="113">
        <f t="shared" si="7"/>
        <v>31795.3</v>
      </c>
    </row>
    <row r="39" spans="1:6" ht="44.25" customHeight="1" x14ac:dyDescent="0.25">
      <c r="A39" s="57" t="s">
        <v>61</v>
      </c>
      <c r="B39" s="5" t="s">
        <v>228</v>
      </c>
      <c r="C39" s="43" t="s">
        <v>227</v>
      </c>
      <c r="D39" s="86">
        <f>30319.9+3097.4+52000-1304.7+19021.8-6804.1</f>
        <v>96330.3</v>
      </c>
      <c r="E39" s="86">
        <v>39514.5</v>
      </c>
      <c r="F39" s="86">
        <v>31795.3</v>
      </c>
    </row>
    <row r="40" spans="1:6" ht="115.9" customHeight="1" x14ac:dyDescent="0.2">
      <c r="A40" s="19" t="s">
        <v>69</v>
      </c>
      <c r="B40" s="28"/>
      <c r="C40" s="120" t="s">
        <v>210</v>
      </c>
      <c r="D40" s="86">
        <f>D41</f>
        <v>302612.69999999984</v>
      </c>
      <c r="E40" s="86">
        <f>E41</f>
        <v>222489.8</v>
      </c>
      <c r="F40" s="86">
        <f>F41</f>
        <v>222106.6</v>
      </c>
    </row>
    <row r="41" spans="1:6" ht="45.75" customHeight="1" x14ac:dyDescent="0.25">
      <c r="A41" s="57" t="s">
        <v>69</v>
      </c>
      <c r="B41" s="5" t="s">
        <v>228</v>
      </c>
      <c r="C41" s="43" t="s">
        <v>227</v>
      </c>
      <c r="D41" s="88">
        <f>218837.3+48959.6-167.7-50+4024.6+7500-4293-835.4+4834.6-435+4052.7+0.1-13186.2+36171.1-3773.6+973.6</f>
        <v>302612.69999999984</v>
      </c>
      <c r="E41" s="88">
        <f>222466.3+23.5</f>
        <v>222489.8</v>
      </c>
      <c r="F41" s="88">
        <f>222082.2+24.4</f>
        <v>222106.6</v>
      </c>
    </row>
    <row r="42" spans="1:6" ht="85.9" customHeight="1" x14ac:dyDescent="0.2">
      <c r="A42" s="19" t="s">
        <v>66</v>
      </c>
      <c r="B42" s="16"/>
      <c r="C42" s="120" t="s">
        <v>211</v>
      </c>
      <c r="D42" s="113">
        <f>D43</f>
        <v>182</v>
      </c>
      <c r="E42" s="113">
        <f t="shared" ref="E42:F42" si="8">E43</f>
        <v>182</v>
      </c>
      <c r="F42" s="113">
        <f t="shared" si="8"/>
        <v>182</v>
      </c>
    </row>
    <row r="43" spans="1:6" ht="78" customHeight="1" x14ac:dyDescent="0.25">
      <c r="A43" s="57" t="s">
        <v>66</v>
      </c>
      <c r="B43" s="5" t="s">
        <v>224</v>
      </c>
      <c r="C43" s="122" t="s">
        <v>225</v>
      </c>
      <c r="D43" s="86">
        <v>182</v>
      </c>
      <c r="E43" s="86">
        <v>182</v>
      </c>
      <c r="F43" s="86">
        <v>182</v>
      </c>
    </row>
    <row r="44" spans="1:6" ht="88.15" customHeight="1" x14ac:dyDescent="0.2">
      <c r="A44" s="19" t="s">
        <v>64</v>
      </c>
      <c r="B44" s="16"/>
      <c r="C44" s="120" t="s">
        <v>212</v>
      </c>
      <c r="D44" s="170">
        <f>D45</f>
        <v>5607.7</v>
      </c>
      <c r="E44" s="170">
        <f t="shared" ref="E44:F44" si="9">E45</f>
        <v>1495</v>
      </c>
      <c r="F44" s="170">
        <f t="shared" si="9"/>
        <v>1495</v>
      </c>
    </row>
    <row r="45" spans="1:6" ht="45" x14ac:dyDescent="0.25">
      <c r="A45" s="57" t="s">
        <v>64</v>
      </c>
      <c r="B45" s="5" t="s">
        <v>228</v>
      </c>
      <c r="C45" s="43" t="s">
        <v>227</v>
      </c>
      <c r="D45" s="86">
        <f>5110.5+340.8+446.4-290</f>
        <v>5607.7</v>
      </c>
      <c r="E45" s="86">
        <v>1495</v>
      </c>
      <c r="F45" s="86">
        <v>1495</v>
      </c>
    </row>
    <row r="46" spans="1:6" ht="94.5" customHeight="1" x14ac:dyDescent="0.2">
      <c r="A46" s="19" t="s">
        <v>75</v>
      </c>
      <c r="B46" s="16"/>
      <c r="C46" s="120" t="s">
        <v>213</v>
      </c>
      <c r="D46" s="113">
        <f>D47</f>
        <v>78002.299999999988</v>
      </c>
      <c r="E46" s="113">
        <f t="shared" ref="E46:F46" si="10">E47</f>
        <v>78814.399999999994</v>
      </c>
      <c r="F46" s="113">
        <f t="shared" si="10"/>
        <v>79525.5</v>
      </c>
    </row>
    <row r="47" spans="1:6" ht="45" x14ac:dyDescent="0.25">
      <c r="A47" s="57" t="s">
        <v>75</v>
      </c>
      <c r="B47" s="5" t="s">
        <v>228</v>
      </c>
      <c r="C47" s="43" t="s">
        <v>227</v>
      </c>
      <c r="D47" s="86">
        <f>76468.9+80+152.2+798.4+502.8</f>
        <v>78002.299999999988</v>
      </c>
      <c r="E47" s="86">
        <v>78814.399999999994</v>
      </c>
      <c r="F47" s="86">
        <v>79525.5</v>
      </c>
    </row>
    <row r="48" spans="1:6" ht="90.75" customHeight="1" x14ac:dyDescent="0.25">
      <c r="A48" s="19" t="s">
        <v>67</v>
      </c>
      <c r="B48" s="3"/>
      <c r="C48" s="119" t="s">
        <v>214</v>
      </c>
      <c r="D48" s="113">
        <f>D49</f>
        <v>29329.100000000006</v>
      </c>
      <c r="E48" s="113">
        <f t="shared" ref="E48:F48" si="11">E49</f>
        <v>13427</v>
      </c>
      <c r="F48" s="113">
        <f t="shared" si="11"/>
        <v>23486.899999999998</v>
      </c>
    </row>
    <row r="49" spans="1:8" ht="45" x14ac:dyDescent="0.25">
      <c r="A49" s="57" t="s">
        <v>67</v>
      </c>
      <c r="B49" s="5" t="s">
        <v>228</v>
      </c>
      <c r="C49" s="43" t="s">
        <v>227</v>
      </c>
      <c r="D49" s="86">
        <f>16198.7+10042.7+3121.7+48.3+1979.2+1840.6-3902.1</f>
        <v>29329.100000000006</v>
      </c>
      <c r="E49" s="86">
        <f>11816.1+1610.9</f>
        <v>13427</v>
      </c>
      <c r="F49" s="86">
        <f>21876.1+1610.8</f>
        <v>23486.899999999998</v>
      </c>
    </row>
    <row r="50" spans="1:8" ht="103.5" customHeight="1" x14ac:dyDescent="0.2">
      <c r="A50" s="19" t="s">
        <v>87</v>
      </c>
      <c r="B50" s="16"/>
      <c r="C50" s="119" t="s">
        <v>215</v>
      </c>
      <c r="D50" s="113">
        <f>D51</f>
        <v>20094.7</v>
      </c>
      <c r="E50" s="113">
        <f t="shared" ref="E50:F50" si="12">E51</f>
        <v>0</v>
      </c>
      <c r="F50" s="113">
        <f t="shared" si="12"/>
        <v>0</v>
      </c>
    </row>
    <row r="51" spans="1:8" ht="45" x14ac:dyDescent="0.25">
      <c r="A51" s="57" t="s">
        <v>87</v>
      </c>
      <c r="B51" s="5" t="s">
        <v>228</v>
      </c>
      <c r="C51" s="43" t="s">
        <v>227</v>
      </c>
      <c r="D51" s="86">
        <f>18075.6+2937.9-918.8</f>
        <v>20094.7</v>
      </c>
      <c r="E51" s="86">
        <v>0</v>
      </c>
      <c r="F51" s="86">
        <v>0</v>
      </c>
    </row>
    <row r="52" spans="1:8" s="30" customFormat="1" ht="120" customHeight="1" x14ac:dyDescent="0.2">
      <c r="A52" s="19" t="s">
        <v>7</v>
      </c>
      <c r="B52" s="65"/>
      <c r="C52" s="123" t="s">
        <v>216</v>
      </c>
      <c r="D52" s="113">
        <f>D53</f>
        <v>19490.2</v>
      </c>
      <c r="E52" s="113">
        <f t="shared" ref="E52:F52" si="13">E53</f>
        <v>0</v>
      </c>
      <c r="F52" s="113">
        <f t="shared" si="13"/>
        <v>0</v>
      </c>
    </row>
    <row r="53" spans="1:8" ht="45" x14ac:dyDescent="0.25">
      <c r="A53" s="57" t="s">
        <v>7</v>
      </c>
      <c r="B53" s="5" t="s">
        <v>228</v>
      </c>
      <c r="C53" s="43" t="s">
        <v>227</v>
      </c>
      <c r="D53" s="86">
        <f>14873.7+3000+2293.1-676.6</f>
        <v>19490.2</v>
      </c>
      <c r="E53" s="86">
        <v>0</v>
      </c>
      <c r="F53" s="86">
        <v>0</v>
      </c>
    </row>
    <row r="54" spans="1:8" ht="103.5" customHeight="1" x14ac:dyDescent="0.2">
      <c r="A54" s="19" t="s">
        <v>86</v>
      </c>
      <c r="B54" s="16"/>
      <c r="C54" s="119" t="s">
        <v>218</v>
      </c>
      <c r="D54" s="113">
        <f>D55</f>
        <v>70</v>
      </c>
      <c r="E54" s="113">
        <f t="shared" ref="E54:F54" si="14">E55</f>
        <v>70</v>
      </c>
      <c r="F54" s="113">
        <f t="shared" si="14"/>
        <v>70</v>
      </c>
    </row>
    <row r="55" spans="1:8" ht="45" x14ac:dyDescent="0.25">
      <c r="A55" s="57" t="s">
        <v>86</v>
      </c>
      <c r="B55" s="5" t="s">
        <v>228</v>
      </c>
      <c r="C55" s="43" t="s">
        <v>227</v>
      </c>
      <c r="D55" s="86">
        <v>70</v>
      </c>
      <c r="E55" s="86">
        <v>70</v>
      </c>
      <c r="F55" s="86">
        <v>70</v>
      </c>
    </row>
    <row r="56" spans="1:8" ht="25.5" x14ac:dyDescent="0.2">
      <c r="A56" s="57" t="s">
        <v>230</v>
      </c>
      <c r="B56" s="57"/>
      <c r="C56" s="77" t="s">
        <v>105</v>
      </c>
      <c r="D56" s="113">
        <f>D57+D58+D59+D60+D61+D62</f>
        <v>210727.1</v>
      </c>
      <c r="E56" s="113">
        <f t="shared" ref="E56:F56" si="15">E57+E58+E59+E60+E61+E62</f>
        <v>185489.9</v>
      </c>
      <c r="F56" s="113">
        <f t="shared" si="15"/>
        <v>185667.09999999998</v>
      </c>
    </row>
    <row r="57" spans="1:8" ht="60" x14ac:dyDescent="0.25">
      <c r="A57" s="57" t="s">
        <v>230</v>
      </c>
      <c r="B57" s="57" t="s">
        <v>231</v>
      </c>
      <c r="C57" s="43" t="s">
        <v>229</v>
      </c>
      <c r="D57" s="86">
        <f>28648.2+13022.4-50-24623.3+2582.6-1999.1+1000-1099.6-40</f>
        <v>17441.2</v>
      </c>
      <c r="E57" s="86">
        <f>28648.2+13022.4-24623.3+2582.6-1999.1</f>
        <v>17630.8</v>
      </c>
      <c r="F57" s="86">
        <f>28648.2+13022.4-24623.3+2582.6-1999.1</f>
        <v>17630.8</v>
      </c>
      <c r="H57" s="181"/>
    </row>
    <row r="58" spans="1:8" ht="60" x14ac:dyDescent="0.25">
      <c r="A58" s="57" t="s">
        <v>230</v>
      </c>
      <c r="B58" s="57" t="s">
        <v>223</v>
      </c>
      <c r="C58" s="122" t="s">
        <v>226</v>
      </c>
      <c r="D58" s="86">
        <v>2090</v>
      </c>
      <c r="E58" s="86">
        <v>0</v>
      </c>
      <c r="F58" s="86">
        <v>0</v>
      </c>
      <c r="H58" s="181"/>
    </row>
    <row r="59" spans="1:8" ht="28.9" customHeight="1" x14ac:dyDescent="0.25">
      <c r="A59" s="57" t="s">
        <v>230</v>
      </c>
      <c r="B59" s="57" t="s">
        <v>233</v>
      </c>
      <c r="C59" s="43" t="s">
        <v>232</v>
      </c>
      <c r="D59" s="86">
        <f>4403.7-1925.2+459.3</f>
        <v>2937.8</v>
      </c>
      <c r="E59" s="86">
        <f t="shared" ref="E59:F59" si="16">4403.7-1925.2+459.3</f>
        <v>2937.8</v>
      </c>
      <c r="F59" s="86">
        <f t="shared" si="16"/>
        <v>2937.8</v>
      </c>
    </row>
    <row r="60" spans="1:8" ht="45" customHeight="1" x14ac:dyDescent="0.25">
      <c r="A60" s="57" t="s">
        <v>230</v>
      </c>
      <c r="B60" s="5" t="s">
        <v>228</v>
      </c>
      <c r="C60" s="43" t="s">
        <v>227</v>
      </c>
      <c r="D60" s="171">
        <f>96.5+1705.2+673.8+491.4+595.6+2701.1+67372.4+1133.6+12717+47632.1+8619.9+137.5+30+2000+5880+3092.7+6506+50+100+167.7+541.8+1207+4616.4+11874.7+50+1400+350+1099.6+835.4+935.8+40-64.4-150</f>
        <v>184438.80000000002</v>
      </c>
      <c r="E60" s="171">
        <f>9+1705.2+677.8+493.9+660.1+2701.1+67372.4+1133.6+12717+47632.1+8619.9+541.8+1207+4616.4+11874.7</f>
        <v>161962</v>
      </c>
      <c r="F60" s="171">
        <f>9.5+1705.2+682+496.4+830.1+2701.1+67372.4+1133.6+12717+47632.1+8619.9+541.8+1207+4616.4+11874.7</f>
        <v>162139.19999999998</v>
      </c>
    </row>
    <row r="61" spans="1:8" ht="45" customHeight="1" x14ac:dyDescent="0.25">
      <c r="A61" s="57" t="s">
        <v>230</v>
      </c>
      <c r="B61" s="5" t="s">
        <v>224</v>
      </c>
      <c r="C61" s="122" t="s">
        <v>225</v>
      </c>
      <c r="D61" s="171">
        <v>860</v>
      </c>
      <c r="E61" s="86">
        <v>0</v>
      </c>
      <c r="F61" s="86">
        <v>0</v>
      </c>
    </row>
    <row r="62" spans="1:8" ht="45" x14ac:dyDescent="0.25">
      <c r="A62" s="57" t="s">
        <v>230</v>
      </c>
      <c r="B62" s="5" t="s">
        <v>235</v>
      </c>
      <c r="C62" s="43" t="s">
        <v>234</v>
      </c>
      <c r="D62" s="86">
        <f>2462.1+497.2</f>
        <v>2959.2999999999997</v>
      </c>
      <c r="E62" s="86">
        <f t="shared" ref="E62:F62" si="17">2462.1+497.2</f>
        <v>2959.2999999999997</v>
      </c>
      <c r="F62" s="86">
        <f t="shared" si="17"/>
        <v>2959.2999999999997</v>
      </c>
    </row>
    <row r="64" spans="1:8" x14ac:dyDescent="0.2">
      <c r="G64" s="78"/>
      <c r="H64" s="78"/>
    </row>
  </sheetData>
  <mergeCells count="9">
    <mergeCell ref="C6:F6"/>
    <mergeCell ref="C3:F3"/>
    <mergeCell ref="A19:F19"/>
    <mergeCell ref="B22:B24"/>
    <mergeCell ref="A22:A24"/>
    <mergeCell ref="C22:C24"/>
    <mergeCell ref="D22:F22"/>
    <mergeCell ref="D23:D24"/>
    <mergeCell ref="E23:F23"/>
  </mergeCells>
  <phoneticPr fontId="2" type="noConversion"/>
  <pageMargins left="0.39370078740157483" right="0.39370078740157483" top="0.39370078740157483" bottom="0.39370078740157483" header="0.39370078740157483" footer="0.39370078740157483"/>
  <pageSetup paperSize="9" fitToHeight="0" orientation="portrait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view="pageBreakPreview" topLeftCell="A44" zoomScale="60" zoomScaleNormal="100" workbookViewId="0">
      <selection activeCell="X50" sqref="X50"/>
    </sheetView>
  </sheetViews>
  <sheetFormatPr defaultColWidth="9.140625" defaultRowHeight="12.75" x14ac:dyDescent="0.2"/>
  <cols>
    <col min="1" max="1" width="3.7109375" customWidth="1"/>
    <col min="2" max="2" width="27.42578125" customWidth="1"/>
    <col min="3" max="3" width="28.42578125" customWidth="1"/>
    <col min="4" max="4" width="8.28515625" customWidth="1"/>
    <col min="5" max="5" width="8.42578125" customWidth="1"/>
    <col min="6" max="6" width="11.7109375" customWidth="1"/>
    <col min="9" max="9" width="10.28515625" bestFit="1" customWidth="1"/>
  </cols>
  <sheetData>
    <row r="1" spans="2:6" x14ac:dyDescent="0.2">
      <c r="B1" s="188" t="s">
        <v>613</v>
      </c>
      <c r="C1" s="189" t="s">
        <v>706</v>
      </c>
      <c r="D1" s="189"/>
      <c r="E1" s="190"/>
      <c r="F1" s="190"/>
    </row>
    <row r="2" spans="2:6" x14ac:dyDescent="0.2">
      <c r="B2" s="188" t="s">
        <v>614</v>
      </c>
      <c r="C2" s="189" t="s">
        <v>579</v>
      </c>
      <c r="D2" s="189"/>
      <c r="E2" s="190"/>
      <c r="F2" s="190"/>
    </row>
    <row r="3" spans="2:6" x14ac:dyDescent="0.2">
      <c r="B3" s="188" t="s">
        <v>615</v>
      </c>
      <c r="C3" s="269" t="s">
        <v>717</v>
      </c>
      <c r="D3" s="269"/>
      <c r="E3" s="269"/>
      <c r="F3" s="269"/>
    </row>
    <row r="4" spans="2:6" x14ac:dyDescent="0.2">
      <c r="B4" s="188" t="s">
        <v>199</v>
      </c>
      <c r="C4" s="189" t="s">
        <v>575</v>
      </c>
      <c r="D4" s="189"/>
      <c r="E4" s="190"/>
      <c r="F4" s="190"/>
    </row>
    <row r="5" spans="2:6" x14ac:dyDescent="0.2">
      <c r="B5" s="188" t="s">
        <v>616</v>
      </c>
      <c r="C5" s="189" t="s">
        <v>576</v>
      </c>
      <c r="D5" s="189"/>
      <c r="E5" s="190"/>
      <c r="F5" s="190"/>
    </row>
    <row r="6" spans="2:6" x14ac:dyDescent="0.2">
      <c r="B6" s="188"/>
      <c r="C6" s="267" t="s">
        <v>580</v>
      </c>
      <c r="D6" s="268"/>
      <c r="E6" s="268"/>
      <c r="F6" s="268"/>
    </row>
    <row r="7" spans="2:6" x14ac:dyDescent="0.2">
      <c r="B7" s="188"/>
      <c r="C7" s="189" t="s">
        <v>199</v>
      </c>
      <c r="D7" s="190"/>
      <c r="E7" s="190"/>
      <c r="F7" s="190"/>
    </row>
    <row r="8" spans="2:6" x14ac:dyDescent="0.2">
      <c r="B8" s="188"/>
      <c r="C8" s="189" t="s">
        <v>577</v>
      </c>
      <c r="D8" s="190"/>
      <c r="E8" s="190"/>
      <c r="F8" s="190"/>
    </row>
    <row r="9" spans="2:6" x14ac:dyDescent="0.2">
      <c r="B9" s="188"/>
      <c r="C9" s="189" t="s">
        <v>578</v>
      </c>
      <c r="D9" s="190"/>
      <c r="E9" s="190"/>
      <c r="F9" s="190"/>
    </row>
    <row r="10" spans="2:6" x14ac:dyDescent="0.2">
      <c r="B10" s="188"/>
      <c r="C10" s="189"/>
      <c r="D10" s="191"/>
      <c r="E10" s="190"/>
      <c r="F10" s="190"/>
    </row>
    <row r="11" spans="2:6" x14ac:dyDescent="0.2">
      <c r="B11" s="188"/>
      <c r="C11" s="189" t="s">
        <v>617</v>
      </c>
      <c r="D11" s="190"/>
      <c r="E11" s="190"/>
      <c r="F11" s="190"/>
    </row>
    <row r="12" spans="2:6" x14ac:dyDescent="0.2">
      <c r="B12" s="188"/>
      <c r="C12" s="189" t="s">
        <v>579</v>
      </c>
      <c r="D12" s="190"/>
      <c r="E12" s="190"/>
      <c r="F12" s="190"/>
    </row>
    <row r="13" spans="2:6" x14ac:dyDescent="0.2">
      <c r="B13" s="188"/>
      <c r="C13" s="189" t="s">
        <v>581</v>
      </c>
      <c r="D13" s="190"/>
      <c r="E13" s="190"/>
      <c r="F13" s="190"/>
    </row>
    <row r="14" spans="2:6" x14ac:dyDescent="0.2">
      <c r="B14" s="188"/>
      <c r="C14" s="189" t="s">
        <v>199</v>
      </c>
      <c r="D14" s="190"/>
      <c r="E14" s="190"/>
      <c r="F14" s="190"/>
    </row>
    <row r="15" spans="2:6" x14ac:dyDescent="0.2">
      <c r="B15" s="188"/>
      <c r="C15" s="189" t="s">
        <v>573</v>
      </c>
      <c r="D15" s="190"/>
      <c r="E15" s="190"/>
      <c r="F15" s="190"/>
    </row>
    <row r="16" spans="2:6" x14ac:dyDescent="0.2">
      <c r="B16" s="188"/>
      <c r="C16" s="189" t="s">
        <v>574</v>
      </c>
      <c r="D16" s="190"/>
      <c r="E16" s="190"/>
      <c r="F16" s="190"/>
    </row>
    <row r="17" spans="1:9" x14ac:dyDescent="0.2">
      <c r="B17" s="188"/>
      <c r="C17" s="192"/>
      <c r="D17" s="71"/>
      <c r="E17" s="71"/>
    </row>
    <row r="18" spans="1:9" x14ac:dyDescent="0.2">
      <c r="B18" s="193"/>
      <c r="C18" s="192"/>
      <c r="D18" s="71"/>
      <c r="E18" s="71"/>
    </row>
    <row r="19" spans="1:9" ht="50.25" customHeight="1" x14ac:dyDescent="0.2">
      <c r="A19" s="220" t="s">
        <v>618</v>
      </c>
      <c r="B19" s="243"/>
      <c r="C19" s="243"/>
      <c r="D19" s="243"/>
      <c r="E19" s="243"/>
    </row>
    <row r="20" spans="1:9" ht="15" x14ac:dyDescent="0.2">
      <c r="A20" s="107"/>
      <c r="B20" s="109"/>
      <c r="C20" s="109"/>
      <c r="D20" s="109"/>
      <c r="E20" s="109"/>
    </row>
    <row r="21" spans="1:9" x14ac:dyDescent="0.2">
      <c r="C21" s="6"/>
    </row>
    <row r="22" spans="1:9" ht="80.25" customHeight="1" x14ac:dyDescent="0.2">
      <c r="A22" s="184" t="s">
        <v>619</v>
      </c>
      <c r="B22" s="186" t="s">
        <v>620</v>
      </c>
      <c r="C22" s="108" t="s">
        <v>621</v>
      </c>
      <c r="D22" s="76" t="s">
        <v>622</v>
      </c>
      <c r="E22" s="76" t="s">
        <v>623</v>
      </c>
      <c r="F22" s="194" t="s">
        <v>624</v>
      </c>
    </row>
    <row r="23" spans="1:9" x14ac:dyDescent="0.2">
      <c r="A23" s="2">
        <v>1</v>
      </c>
      <c r="B23" s="2">
        <v>2</v>
      </c>
      <c r="C23" s="2">
        <v>3</v>
      </c>
      <c r="D23" s="2">
        <v>4</v>
      </c>
      <c r="E23" s="2">
        <v>5</v>
      </c>
      <c r="F23" s="2">
        <v>6</v>
      </c>
      <c r="I23" s="78"/>
    </row>
    <row r="24" spans="1:9" ht="38.25" x14ac:dyDescent="0.2">
      <c r="A24" s="266" t="s">
        <v>625</v>
      </c>
      <c r="B24" s="74" t="s">
        <v>626</v>
      </c>
      <c r="C24" s="253" t="s">
        <v>627</v>
      </c>
      <c r="D24" s="195">
        <v>100</v>
      </c>
      <c r="E24" s="254" t="s">
        <v>628</v>
      </c>
      <c r="F24" s="256" t="s">
        <v>629</v>
      </c>
      <c r="H24" s="78"/>
      <c r="I24" s="78"/>
    </row>
    <row r="25" spans="1:9" ht="38.25" x14ac:dyDescent="0.2">
      <c r="A25" s="255"/>
      <c r="B25" s="74" t="s">
        <v>630</v>
      </c>
      <c r="C25" s="228"/>
      <c r="D25" s="195">
        <v>50</v>
      </c>
      <c r="E25" s="255"/>
      <c r="F25" s="257"/>
      <c r="I25" s="78"/>
    </row>
    <row r="26" spans="1:9" ht="38.25" x14ac:dyDescent="0.2">
      <c r="A26" s="196" t="s">
        <v>631</v>
      </c>
      <c r="B26" s="75" t="s">
        <v>632</v>
      </c>
      <c r="C26" s="197" t="s">
        <v>633</v>
      </c>
      <c r="D26" s="195">
        <v>150</v>
      </c>
      <c r="E26" s="198" t="s">
        <v>634</v>
      </c>
      <c r="F26" s="199" t="s">
        <v>635</v>
      </c>
      <c r="I26" s="78"/>
    </row>
    <row r="27" spans="1:9" ht="76.5" x14ac:dyDescent="0.2">
      <c r="A27" s="196" t="s">
        <v>636</v>
      </c>
      <c r="B27" s="75" t="s">
        <v>707</v>
      </c>
      <c r="C27" s="200" t="s">
        <v>637</v>
      </c>
      <c r="D27" s="195">
        <v>150</v>
      </c>
      <c r="E27" s="198" t="s">
        <v>634</v>
      </c>
      <c r="F27" s="199" t="s">
        <v>638</v>
      </c>
      <c r="I27" s="78"/>
    </row>
    <row r="28" spans="1:9" ht="63.75" x14ac:dyDescent="0.2">
      <c r="A28" s="196" t="s">
        <v>639</v>
      </c>
      <c r="B28" s="75" t="s">
        <v>640</v>
      </c>
      <c r="C28" s="201" t="s">
        <v>641</v>
      </c>
      <c r="D28" s="195">
        <v>150</v>
      </c>
      <c r="E28" s="202" t="s">
        <v>642</v>
      </c>
      <c r="F28" s="203" t="s">
        <v>643</v>
      </c>
      <c r="I28" s="78"/>
    </row>
    <row r="29" spans="1:9" ht="38.25" x14ac:dyDescent="0.2">
      <c r="A29" s="204" t="s">
        <v>644</v>
      </c>
      <c r="B29" s="75" t="s">
        <v>645</v>
      </c>
      <c r="C29" s="185" t="s">
        <v>646</v>
      </c>
      <c r="D29" s="195">
        <v>150</v>
      </c>
      <c r="E29" s="198" t="s">
        <v>647</v>
      </c>
      <c r="F29" s="205" t="s">
        <v>648</v>
      </c>
      <c r="I29" s="78"/>
    </row>
    <row r="30" spans="1:9" ht="51" x14ac:dyDescent="0.2">
      <c r="A30" s="206" t="s">
        <v>649</v>
      </c>
      <c r="B30" s="75" t="s">
        <v>650</v>
      </c>
      <c r="C30" s="197" t="s">
        <v>651</v>
      </c>
      <c r="D30" s="195">
        <v>150</v>
      </c>
      <c r="E30" s="198" t="s">
        <v>628</v>
      </c>
      <c r="F30" s="199" t="s">
        <v>652</v>
      </c>
      <c r="I30" s="78"/>
    </row>
    <row r="31" spans="1:9" ht="51" x14ac:dyDescent="0.2">
      <c r="A31" s="206" t="s">
        <v>653</v>
      </c>
      <c r="B31" s="75" t="s">
        <v>654</v>
      </c>
      <c r="C31" s="197" t="s">
        <v>655</v>
      </c>
      <c r="D31" s="195">
        <v>150</v>
      </c>
      <c r="E31" s="198" t="s">
        <v>656</v>
      </c>
      <c r="F31" s="199" t="s">
        <v>657</v>
      </c>
      <c r="I31" s="78"/>
    </row>
    <row r="32" spans="1:9" ht="63.75" x14ac:dyDescent="0.2">
      <c r="A32" s="206" t="s">
        <v>658</v>
      </c>
      <c r="B32" s="75" t="s">
        <v>659</v>
      </c>
      <c r="C32" s="197" t="s">
        <v>660</v>
      </c>
      <c r="D32" s="195">
        <v>150</v>
      </c>
      <c r="E32" s="198" t="s">
        <v>656</v>
      </c>
      <c r="F32" s="199" t="s">
        <v>661</v>
      </c>
      <c r="I32" s="78"/>
    </row>
    <row r="33" spans="1:9" ht="63.75" x14ac:dyDescent="0.2">
      <c r="A33" s="251" t="s">
        <v>662</v>
      </c>
      <c r="B33" s="75" t="s">
        <v>663</v>
      </c>
      <c r="C33" s="197" t="s">
        <v>664</v>
      </c>
      <c r="D33" s="195">
        <v>25</v>
      </c>
      <c r="E33" s="207" t="s">
        <v>634</v>
      </c>
      <c r="F33" s="256" t="s">
        <v>665</v>
      </c>
      <c r="I33" s="78"/>
    </row>
    <row r="34" spans="1:9" ht="38.25" x14ac:dyDescent="0.2">
      <c r="A34" s="251"/>
      <c r="B34" s="75" t="s">
        <v>666</v>
      </c>
      <c r="C34" s="197" t="s">
        <v>667</v>
      </c>
      <c r="D34" s="195">
        <v>25</v>
      </c>
      <c r="E34" s="207" t="s">
        <v>656</v>
      </c>
      <c r="F34" s="264"/>
      <c r="I34" s="78"/>
    </row>
    <row r="35" spans="1:9" ht="89.25" x14ac:dyDescent="0.2">
      <c r="A35" s="251"/>
      <c r="B35" s="75" t="s">
        <v>668</v>
      </c>
      <c r="C35" s="197" t="s">
        <v>669</v>
      </c>
      <c r="D35" s="195">
        <v>30</v>
      </c>
      <c r="E35" s="207" t="s">
        <v>656</v>
      </c>
      <c r="F35" s="264"/>
      <c r="I35" s="78"/>
    </row>
    <row r="36" spans="1:9" ht="89.25" x14ac:dyDescent="0.2">
      <c r="A36" s="251"/>
      <c r="B36" s="75" t="s">
        <v>670</v>
      </c>
      <c r="C36" s="197" t="s">
        <v>671</v>
      </c>
      <c r="D36" s="195">
        <v>60</v>
      </c>
      <c r="E36" s="207" t="s">
        <v>634</v>
      </c>
      <c r="F36" s="264"/>
      <c r="I36" s="78"/>
    </row>
    <row r="37" spans="1:9" ht="51" x14ac:dyDescent="0.2">
      <c r="A37" s="251"/>
      <c r="B37" s="75" t="s">
        <v>672</v>
      </c>
      <c r="C37" s="197" t="s">
        <v>673</v>
      </c>
      <c r="D37" s="195">
        <v>10</v>
      </c>
      <c r="E37" s="198" t="s">
        <v>642</v>
      </c>
      <c r="F37" s="265"/>
      <c r="I37" s="78"/>
    </row>
    <row r="38" spans="1:9" ht="51" x14ac:dyDescent="0.2">
      <c r="A38" s="208" t="s">
        <v>75</v>
      </c>
      <c r="B38" s="75" t="s">
        <v>674</v>
      </c>
      <c r="C38" s="197" t="s">
        <v>651</v>
      </c>
      <c r="D38" s="195">
        <v>150</v>
      </c>
      <c r="E38" s="198" t="s">
        <v>628</v>
      </c>
      <c r="F38" s="209" t="s">
        <v>675</v>
      </c>
      <c r="I38" s="78"/>
    </row>
    <row r="39" spans="1:9" ht="38.25" x14ac:dyDescent="0.2">
      <c r="A39" s="208" t="s">
        <v>67</v>
      </c>
      <c r="B39" s="75" t="s">
        <v>676</v>
      </c>
      <c r="C39" s="197" t="s">
        <v>667</v>
      </c>
      <c r="D39" s="195">
        <v>150</v>
      </c>
      <c r="E39" s="207" t="s">
        <v>656</v>
      </c>
      <c r="F39" s="205" t="s">
        <v>677</v>
      </c>
      <c r="I39" s="78"/>
    </row>
    <row r="40" spans="1:9" ht="38.25" x14ac:dyDescent="0.2">
      <c r="A40" s="266" t="s">
        <v>87</v>
      </c>
      <c r="B40" s="75" t="s">
        <v>678</v>
      </c>
      <c r="C40" s="197" t="s">
        <v>679</v>
      </c>
      <c r="D40" s="195">
        <v>80</v>
      </c>
      <c r="E40" s="254" t="s">
        <v>634</v>
      </c>
      <c r="F40" s="256" t="s">
        <v>680</v>
      </c>
      <c r="I40" s="78"/>
    </row>
    <row r="41" spans="1:9" ht="15.75" customHeight="1" x14ac:dyDescent="0.2">
      <c r="A41" s="259"/>
      <c r="B41" s="75" t="s">
        <v>681</v>
      </c>
      <c r="C41" s="253" t="s">
        <v>682</v>
      </c>
      <c r="D41" s="195">
        <v>50</v>
      </c>
      <c r="E41" s="259"/>
      <c r="F41" s="263"/>
      <c r="I41" s="78"/>
    </row>
    <row r="42" spans="1:9" ht="25.5" x14ac:dyDescent="0.2">
      <c r="A42" s="255"/>
      <c r="B42" s="75" t="s">
        <v>683</v>
      </c>
      <c r="C42" s="228"/>
      <c r="D42" s="195">
        <v>20</v>
      </c>
      <c r="E42" s="255"/>
      <c r="F42" s="257"/>
      <c r="I42" s="78"/>
    </row>
    <row r="43" spans="1:9" ht="51" x14ac:dyDescent="0.2">
      <c r="A43" s="210">
        <v>13</v>
      </c>
      <c r="B43" s="75" t="s">
        <v>684</v>
      </c>
      <c r="C43" s="197" t="s">
        <v>679</v>
      </c>
      <c r="D43" s="195">
        <v>150</v>
      </c>
      <c r="E43" s="187" t="s">
        <v>634</v>
      </c>
      <c r="F43" s="211" t="s">
        <v>685</v>
      </c>
      <c r="I43" s="78"/>
    </row>
    <row r="44" spans="1:9" ht="51" x14ac:dyDescent="0.2">
      <c r="A44" s="210">
        <v>14</v>
      </c>
      <c r="B44" s="75" t="s">
        <v>686</v>
      </c>
      <c r="C44" s="201" t="s">
        <v>673</v>
      </c>
      <c r="D44" s="195">
        <v>150</v>
      </c>
      <c r="E44" s="108" t="s">
        <v>642</v>
      </c>
      <c r="F44" s="212" t="s">
        <v>687</v>
      </c>
      <c r="I44" s="78"/>
    </row>
    <row r="45" spans="1:9" ht="22.5" customHeight="1" x14ac:dyDescent="0.2">
      <c r="A45" s="251" t="s">
        <v>688</v>
      </c>
      <c r="B45" s="75" t="s">
        <v>689</v>
      </c>
      <c r="C45" s="253" t="s">
        <v>673</v>
      </c>
      <c r="D45" s="195">
        <v>50</v>
      </c>
      <c r="E45" s="254" t="s">
        <v>642</v>
      </c>
      <c r="F45" s="256" t="s">
        <v>690</v>
      </c>
      <c r="I45" s="78"/>
    </row>
    <row r="46" spans="1:9" ht="25.5" x14ac:dyDescent="0.2">
      <c r="A46" s="252"/>
      <c r="B46" s="75" t="s">
        <v>672</v>
      </c>
      <c r="C46" s="228"/>
      <c r="D46" s="195">
        <v>100</v>
      </c>
      <c r="E46" s="255"/>
      <c r="F46" s="257"/>
      <c r="I46" s="78"/>
    </row>
    <row r="47" spans="1:9" ht="38.25" x14ac:dyDescent="0.2">
      <c r="A47" s="213">
        <v>16</v>
      </c>
      <c r="B47" s="75" t="s">
        <v>676</v>
      </c>
      <c r="C47" s="197" t="s">
        <v>667</v>
      </c>
      <c r="D47" s="195">
        <v>150</v>
      </c>
      <c r="E47" s="207" t="s">
        <v>656</v>
      </c>
      <c r="F47" s="205" t="s">
        <v>691</v>
      </c>
      <c r="I47" s="78"/>
    </row>
    <row r="48" spans="1:9" ht="63.75" x14ac:dyDescent="0.2">
      <c r="A48" s="258">
        <v>17</v>
      </c>
      <c r="B48" s="75" t="s">
        <v>640</v>
      </c>
      <c r="C48" s="201" t="s">
        <v>641</v>
      </c>
      <c r="D48" s="195">
        <v>100</v>
      </c>
      <c r="E48" s="108" t="s">
        <v>642</v>
      </c>
      <c r="F48" s="260" t="s">
        <v>692</v>
      </c>
      <c r="I48" s="78"/>
    </row>
    <row r="49" spans="1:9" ht="89.25" x14ac:dyDescent="0.2">
      <c r="A49" s="259"/>
      <c r="B49" s="75" t="s">
        <v>708</v>
      </c>
      <c r="C49" s="185" t="s">
        <v>646</v>
      </c>
      <c r="D49" s="195">
        <v>50</v>
      </c>
      <c r="E49" s="198" t="s">
        <v>709</v>
      </c>
      <c r="F49" s="260"/>
      <c r="I49" s="78"/>
    </row>
    <row r="50" spans="1:9" ht="63.75" x14ac:dyDescent="0.2">
      <c r="A50" s="259">
        <v>18</v>
      </c>
      <c r="B50" s="75" t="s">
        <v>693</v>
      </c>
      <c r="C50" s="261" t="s">
        <v>641</v>
      </c>
      <c r="D50" s="195">
        <v>40</v>
      </c>
      <c r="E50" s="254" t="s">
        <v>642</v>
      </c>
      <c r="F50" s="262" t="s">
        <v>694</v>
      </c>
      <c r="I50" s="78"/>
    </row>
    <row r="51" spans="1:9" ht="25.5" x14ac:dyDescent="0.2">
      <c r="A51" s="259"/>
      <c r="B51" s="75" t="s">
        <v>695</v>
      </c>
      <c r="C51" s="219"/>
      <c r="D51" s="195">
        <v>50</v>
      </c>
      <c r="E51" s="259"/>
      <c r="F51" s="263"/>
      <c r="I51" s="78"/>
    </row>
    <row r="52" spans="1:9" ht="69" customHeight="1" x14ac:dyDescent="0.2">
      <c r="A52" s="259"/>
      <c r="B52" s="75" t="s">
        <v>696</v>
      </c>
      <c r="C52" s="226" t="s">
        <v>697</v>
      </c>
      <c r="D52" s="195">
        <v>20</v>
      </c>
      <c r="E52" s="259"/>
      <c r="F52" s="263"/>
      <c r="I52" s="78"/>
    </row>
    <row r="53" spans="1:9" ht="25.5" x14ac:dyDescent="0.2">
      <c r="A53" s="259"/>
      <c r="B53" s="75" t="s">
        <v>698</v>
      </c>
      <c r="C53" s="228"/>
      <c r="D53" s="195">
        <v>40</v>
      </c>
      <c r="E53" s="255"/>
      <c r="F53" s="257"/>
      <c r="I53" s="78"/>
    </row>
    <row r="54" spans="1:9" ht="51" x14ac:dyDescent="0.2">
      <c r="A54" s="214">
        <v>19</v>
      </c>
      <c r="B54" s="75" t="s">
        <v>654</v>
      </c>
      <c r="C54" s="197" t="s">
        <v>655</v>
      </c>
      <c r="D54" s="195">
        <v>150</v>
      </c>
      <c r="E54" s="207" t="s">
        <v>656</v>
      </c>
      <c r="F54" s="212" t="s">
        <v>699</v>
      </c>
      <c r="I54" s="78"/>
    </row>
    <row r="55" spans="1:9" ht="51" x14ac:dyDescent="0.2">
      <c r="A55" s="206" t="s">
        <v>700</v>
      </c>
      <c r="B55" s="75" t="s">
        <v>701</v>
      </c>
      <c r="C55" s="197" t="s">
        <v>702</v>
      </c>
      <c r="D55" s="195">
        <v>150</v>
      </c>
      <c r="E55" s="207" t="s">
        <v>634</v>
      </c>
      <c r="F55" s="199" t="s">
        <v>703</v>
      </c>
      <c r="I55" s="78"/>
    </row>
    <row r="56" spans="1:9" ht="63.75" x14ac:dyDescent="0.2">
      <c r="A56" s="213">
        <v>21</v>
      </c>
      <c r="B56" s="75" t="s">
        <v>695</v>
      </c>
      <c r="C56" s="201" t="s">
        <v>641</v>
      </c>
      <c r="D56" s="195">
        <v>150</v>
      </c>
      <c r="E56" s="202" t="s">
        <v>642</v>
      </c>
      <c r="F56" s="199" t="s">
        <v>704</v>
      </c>
      <c r="I56" s="78"/>
    </row>
    <row r="57" spans="1:9" x14ac:dyDescent="0.2">
      <c r="A57" s="1"/>
      <c r="B57" s="250" t="s">
        <v>705</v>
      </c>
      <c r="C57" s="231"/>
      <c r="D57" s="37">
        <f>SUM(D24:D56)</f>
        <v>3150</v>
      </c>
      <c r="E57" s="1"/>
      <c r="F57" s="1"/>
    </row>
    <row r="62" spans="1:9" x14ac:dyDescent="0.2">
      <c r="C62" s="78"/>
    </row>
  </sheetData>
  <mergeCells count="25">
    <mergeCell ref="C3:F3"/>
    <mergeCell ref="C6:F6"/>
    <mergeCell ref="A19:E19"/>
    <mergeCell ref="A24:A25"/>
    <mergeCell ref="C24:C25"/>
    <mergeCell ref="E24:E25"/>
    <mergeCell ref="F24:F25"/>
    <mergeCell ref="A33:A37"/>
    <mergeCell ref="F33:F37"/>
    <mergeCell ref="A40:A42"/>
    <mergeCell ref="E40:E42"/>
    <mergeCell ref="F40:F42"/>
    <mergeCell ref="C41:C42"/>
    <mergeCell ref="B57:C57"/>
    <mergeCell ref="A45:A46"/>
    <mergeCell ref="C45:C46"/>
    <mergeCell ref="E45:E46"/>
    <mergeCell ref="F45:F46"/>
    <mergeCell ref="A48:A49"/>
    <mergeCell ref="F48:F49"/>
    <mergeCell ref="A50:A53"/>
    <mergeCell ref="C50:C51"/>
    <mergeCell ref="E50:E53"/>
    <mergeCell ref="F50:F53"/>
    <mergeCell ref="C52:C53"/>
  </mergeCells>
  <pageMargins left="0.7" right="0.7" top="0.75" bottom="0.75" header="0.3" footer="0.3"/>
  <pageSetup paperSize="9" scale="98" orientation="portrait" r:id="rId1"/>
  <rowBreaks count="2" manualBreakCount="2">
    <brk id="30" max="5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прил.1</vt:lpstr>
      <vt:lpstr>прил.3</vt:lpstr>
      <vt:lpstr>прил.4</vt:lpstr>
      <vt:lpstr>прил.5</vt:lpstr>
      <vt:lpstr>прил.6</vt:lpstr>
      <vt:lpstr>прил.7</vt:lpstr>
      <vt:lpstr>прил.3!Заголовки_для_печати</vt:lpstr>
      <vt:lpstr>прил.4!Заголовки_для_печати</vt:lpstr>
      <vt:lpstr>прил.5!Заголовки_для_печати</vt:lpstr>
      <vt:lpstr>прил.6!Заголовки_для_печати</vt:lpstr>
    </vt:vector>
  </TitlesOfParts>
  <Company>***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Пользователь</cp:lastModifiedBy>
  <cp:lastPrinted>2026-08-21T12:10:09Z</cp:lastPrinted>
  <dcterms:created xsi:type="dcterms:W3CDTF">2007-02-27T13:35:41Z</dcterms:created>
  <dcterms:modified xsi:type="dcterms:W3CDTF">2026-08-21T12:10:43Z</dcterms:modified>
</cp:coreProperties>
</file>