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ЭтаКнига" defaultThemeVersion="124226"/>
  <bookViews>
    <workbookView xWindow="0" yWindow="0" windowWidth="24240" windowHeight="12435" activeTab="5"/>
  </bookViews>
  <sheets>
    <sheet name="прил.1" sheetId="62" r:id="rId1"/>
    <sheet name="прил.3" sheetId="1" r:id="rId2"/>
    <sheet name="прил.4" sheetId="61" r:id="rId3"/>
    <sheet name="прил.5" sheetId="2" r:id="rId4"/>
    <sheet name="прил.6" sheetId="3" r:id="rId5"/>
    <sheet name="прил.7" sheetId="63" r:id="rId6"/>
  </sheets>
  <calcPr calcId="145621"/>
</workbook>
</file>

<file path=xl/calcChain.xml><?xml version="1.0" encoding="utf-8"?>
<calcChain xmlns="http://schemas.openxmlformats.org/spreadsheetml/2006/main">
  <c r="F27" i="62" l="1"/>
  <c r="F31" i="1" l="1"/>
  <c r="F48" i="1"/>
  <c r="F199" i="61" l="1"/>
  <c r="H200" i="2"/>
  <c r="D432" i="3"/>
  <c r="D434" i="3"/>
  <c r="H202" i="2"/>
  <c r="F201" i="61"/>
  <c r="E39" i="1" l="1"/>
  <c r="D592" i="3" l="1"/>
  <c r="H221" i="2"/>
  <c r="F219" i="61"/>
  <c r="D452" i="3" l="1"/>
  <c r="H184" i="2"/>
  <c r="F184" i="61"/>
  <c r="G29" i="62" l="1"/>
  <c r="G26" i="62" s="1"/>
  <c r="F29" i="62"/>
  <c r="E29" i="62"/>
  <c r="D29" i="62"/>
  <c r="D26" i="62" s="1"/>
  <c r="C29" i="62"/>
  <c r="G27" i="62"/>
  <c r="E27" i="62"/>
  <c r="E26" i="62" s="1"/>
  <c r="D27" i="62"/>
  <c r="C27" i="62"/>
  <c r="F26" i="62"/>
  <c r="C26" i="62"/>
  <c r="G24" i="62"/>
  <c r="G23" i="62" s="1"/>
  <c r="F24" i="62"/>
  <c r="F23" i="62" s="1"/>
  <c r="E24" i="62"/>
  <c r="E23" i="62" s="1"/>
  <c r="D24" i="62"/>
  <c r="C24" i="62"/>
  <c r="C23" i="62" s="1"/>
  <c r="D23" i="62"/>
  <c r="F267" i="3" l="1"/>
  <c r="E267" i="3"/>
  <c r="D267" i="3"/>
  <c r="J86" i="2"/>
  <c r="I86" i="2"/>
  <c r="H86" i="2"/>
  <c r="G89" i="61"/>
  <c r="H89" i="61"/>
  <c r="F89" i="61"/>
  <c r="D264" i="3"/>
  <c r="D263" i="3" s="1"/>
  <c r="F263" i="3"/>
  <c r="E263" i="3"/>
  <c r="H83" i="2"/>
  <c r="H82" i="2" s="1"/>
  <c r="J82" i="2"/>
  <c r="I82" i="2"/>
  <c r="F42" i="3"/>
  <c r="E42" i="3"/>
  <c r="D42" i="3"/>
  <c r="J510" i="2"/>
  <c r="I510" i="2"/>
  <c r="H510" i="2"/>
  <c r="G424" i="61"/>
  <c r="H424" i="61"/>
  <c r="F424" i="61"/>
  <c r="E141" i="3" l="1"/>
  <c r="I606" i="2"/>
  <c r="G523" i="61"/>
  <c r="F50" i="1"/>
  <c r="D113" i="3" l="1"/>
  <c r="D112" i="3" s="1"/>
  <c r="H576" i="2"/>
  <c r="F482" i="61"/>
  <c r="D53" i="3"/>
  <c r="H519" i="2"/>
  <c r="F432" i="61"/>
  <c r="D30" i="3"/>
  <c r="H498" i="2"/>
  <c r="F413" i="61"/>
  <c r="D115" i="3"/>
  <c r="D114" i="3" s="1"/>
  <c r="H578" i="2"/>
  <c r="H577" i="2" s="1"/>
  <c r="H575" i="2"/>
  <c r="F484" i="61"/>
  <c r="E547" i="3"/>
  <c r="I462" i="2"/>
  <c r="G657" i="61"/>
  <c r="E75" i="3"/>
  <c r="I541" i="2"/>
  <c r="G452" i="61"/>
  <c r="E77" i="3"/>
  <c r="I543" i="2"/>
  <c r="G454" i="61"/>
  <c r="D183" i="3" l="1"/>
  <c r="H674" i="2"/>
  <c r="F505" i="61"/>
  <c r="D196" i="3"/>
  <c r="H743" i="2"/>
  <c r="F605" i="61"/>
  <c r="D662" i="3" l="1"/>
  <c r="D661" i="3"/>
  <c r="D660" i="3" s="1"/>
  <c r="D659" i="3"/>
  <c r="D658" i="3" s="1"/>
  <c r="H41" i="2"/>
  <c r="H39" i="2" s="1"/>
  <c r="H40" i="2"/>
  <c r="H38" i="2"/>
  <c r="H37" i="2" s="1"/>
  <c r="F63" i="61"/>
  <c r="F62" i="61"/>
  <c r="F60" i="61"/>
  <c r="F190" i="3" l="1"/>
  <c r="E190" i="3"/>
  <c r="D190" i="3"/>
  <c r="F188" i="3"/>
  <c r="E188" i="3"/>
  <c r="D188" i="3"/>
  <c r="J681" i="2"/>
  <c r="I681" i="2"/>
  <c r="H681" i="2"/>
  <c r="J679" i="2"/>
  <c r="I679" i="2"/>
  <c r="H679" i="2"/>
  <c r="F122" i="3"/>
  <c r="E122" i="3"/>
  <c r="D122" i="3"/>
  <c r="F120" i="3"/>
  <c r="E120" i="3"/>
  <c r="D120" i="3"/>
  <c r="J585" i="2"/>
  <c r="I585" i="2"/>
  <c r="H585" i="2"/>
  <c r="J583" i="2"/>
  <c r="I583" i="2"/>
  <c r="H583" i="2"/>
  <c r="F60" i="3"/>
  <c r="E60" i="3"/>
  <c r="D60" i="3"/>
  <c r="F58" i="3"/>
  <c r="E58" i="3"/>
  <c r="D58" i="3"/>
  <c r="J526" i="2"/>
  <c r="I526" i="2"/>
  <c r="H526" i="2"/>
  <c r="J524" i="2"/>
  <c r="I524" i="2"/>
  <c r="H524" i="2"/>
  <c r="F33" i="3"/>
  <c r="E33" i="3"/>
  <c r="D33" i="3"/>
  <c r="F31" i="3"/>
  <c r="E31" i="3"/>
  <c r="D31" i="3"/>
  <c r="J501" i="2"/>
  <c r="I501" i="2"/>
  <c r="H501" i="2"/>
  <c r="J499" i="2"/>
  <c r="I499" i="2"/>
  <c r="H499" i="2"/>
  <c r="F185" i="3"/>
  <c r="E185" i="3"/>
  <c r="D185" i="3"/>
  <c r="J676" i="2"/>
  <c r="I676" i="2"/>
  <c r="H676" i="2"/>
  <c r="F117" i="3"/>
  <c r="E117" i="3"/>
  <c r="D117" i="3"/>
  <c r="J580" i="2"/>
  <c r="I580" i="2"/>
  <c r="H580" i="2"/>
  <c r="H507" i="61"/>
  <c r="G507" i="61"/>
  <c r="F507" i="61"/>
  <c r="H486" i="61"/>
  <c r="G486" i="61"/>
  <c r="F486" i="61"/>
  <c r="F315" i="61" l="1"/>
  <c r="H333" i="2"/>
  <c r="D397" i="3"/>
  <c r="D391" i="3"/>
  <c r="H327" i="2"/>
  <c r="F310" i="61"/>
  <c r="F325" i="61"/>
  <c r="H345" i="2"/>
  <c r="D409" i="3"/>
  <c r="D399" i="3"/>
  <c r="H335" i="2"/>
  <c r="H334" i="2" s="1"/>
  <c r="F317" i="61"/>
  <c r="F40" i="3" l="1"/>
  <c r="E40" i="3"/>
  <c r="D40" i="3"/>
  <c r="J508" i="2"/>
  <c r="I508" i="2"/>
  <c r="H508" i="2"/>
  <c r="G422" i="61"/>
  <c r="H422" i="61"/>
  <c r="F422" i="61"/>
  <c r="D650" i="3" l="1"/>
  <c r="D649" i="3"/>
  <c r="H790" i="2"/>
  <c r="H789" i="2"/>
  <c r="F56" i="61"/>
  <c r="F57" i="61"/>
  <c r="H512" i="61" l="1"/>
  <c r="G512" i="61"/>
  <c r="F512" i="61"/>
  <c r="H510" i="61"/>
  <c r="G510" i="61"/>
  <c r="F510" i="61"/>
  <c r="H491" i="61"/>
  <c r="G491" i="61"/>
  <c r="F491" i="61"/>
  <c r="H489" i="61"/>
  <c r="G489" i="61"/>
  <c r="F489" i="61"/>
  <c r="H439" i="61"/>
  <c r="G439" i="61"/>
  <c r="F439" i="61"/>
  <c r="H437" i="61"/>
  <c r="G437" i="61"/>
  <c r="F437" i="61"/>
  <c r="G441" i="61"/>
  <c r="H441" i="61"/>
  <c r="F442" i="61"/>
  <c r="F441" i="61" s="1"/>
  <c r="G443" i="61"/>
  <c r="H443" i="61"/>
  <c r="F444" i="61"/>
  <c r="F443" i="61" s="1"/>
  <c r="H416" i="61"/>
  <c r="G416" i="61"/>
  <c r="F416" i="61"/>
  <c r="H414" i="61"/>
  <c r="G414" i="61"/>
  <c r="F414" i="61"/>
  <c r="F265" i="3" l="1"/>
  <c r="E265" i="3"/>
  <c r="D265" i="3"/>
  <c r="J84" i="2"/>
  <c r="I84" i="2"/>
  <c r="H84" i="2"/>
  <c r="G87" i="61"/>
  <c r="H87" i="61"/>
  <c r="F87" i="61"/>
  <c r="F51" i="3" l="1"/>
  <c r="E51" i="3"/>
  <c r="D51" i="3"/>
  <c r="J517" i="2"/>
  <c r="I517" i="2"/>
  <c r="H517" i="2"/>
  <c r="H430" i="61"/>
  <c r="G430" i="61"/>
  <c r="F430" i="61"/>
  <c r="F28" i="3"/>
  <c r="E28" i="3"/>
  <c r="D28" i="3"/>
  <c r="J496" i="2"/>
  <c r="I496" i="2"/>
  <c r="H496" i="2"/>
  <c r="H411" i="61"/>
  <c r="G411" i="61"/>
  <c r="F411" i="61"/>
  <c r="F178" i="3" l="1"/>
  <c r="E178" i="3"/>
  <c r="D178" i="3"/>
  <c r="F177" i="3"/>
  <c r="F176" i="3" s="1"/>
  <c r="E177" i="3"/>
  <c r="D177" i="3"/>
  <c r="E176" i="3"/>
  <c r="J736" i="2"/>
  <c r="I736" i="2"/>
  <c r="H736" i="2"/>
  <c r="J735" i="2"/>
  <c r="I735" i="2"/>
  <c r="I734" i="2" s="1"/>
  <c r="H735" i="2"/>
  <c r="H734" i="2"/>
  <c r="H599" i="61"/>
  <c r="H598" i="61"/>
  <c r="G599" i="61"/>
  <c r="G598" i="61"/>
  <c r="F599" i="61"/>
  <c r="F598" i="61"/>
  <c r="D176" i="3" l="1"/>
  <c r="J734" i="2"/>
  <c r="D47" i="3"/>
  <c r="D45" i="3"/>
  <c r="H659" i="2"/>
  <c r="H657" i="2" s="1"/>
  <c r="F653" i="61"/>
  <c r="F175" i="3"/>
  <c r="E175" i="3"/>
  <c r="D175" i="3"/>
  <c r="F174" i="3"/>
  <c r="E174" i="3"/>
  <c r="D174" i="3"/>
  <c r="F172" i="3"/>
  <c r="F171" i="3" s="1"/>
  <c r="E172" i="3"/>
  <c r="E171" i="3" s="1"/>
  <c r="D172" i="3"/>
  <c r="D171" i="3" s="1"/>
  <c r="D169" i="3"/>
  <c r="F168" i="3"/>
  <c r="E168" i="3"/>
  <c r="E167" i="3" s="1"/>
  <c r="D168" i="3"/>
  <c r="F167" i="3"/>
  <c r="J733" i="2"/>
  <c r="I733" i="2"/>
  <c r="H733" i="2"/>
  <c r="J732" i="2"/>
  <c r="I732" i="2"/>
  <c r="H732" i="2"/>
  <c r="H731" i="2" s="1"/>
  <c r="J730" i="2"/>
  <c r="J729" i="2" s="1"/>
  <c r="I730" i="2"/>
  <c r="I729" i="2" s="1"/>
  <c r="H730" i="2"/>
  <c r="H729" i="2" s="1"/>
  <c r="H727" i="2"/>
  <c r="J726" i="2"/>
  <c r="J725" i="2" s="1"/>
  <c r="I726" i="2"/>
  <c r="I725" i="2" s="1"/>
  <c r="H726" i="2"/>
  <c r="H596" i="61"/>
  <c r="H595" i="61"/>
  <c r="H593" i="61"/>
  <c r="H589" i="61"/>
  <c r="G596" i="61"/>
  <c r="G595" i="61"/>
  <c r="G593" i="61"/>
  <c r="G589" i="61"/>
  <c r="F187" i="3"/>
  <c r="E187" i="3"/>
  <c r="J678" i="2"/>
  <c r="I678" i="2"/>
  <c r="H509" i="61"/>
  <c r="G509" i="61"/>
  <c r="F183" i="3"/>
  <c r="E183" i="3"/>
  <c r="J674" i="2"/>
  <c r="I674" i="2"/>
  <c r="H505" i="61"/>
  <c r="G505" i="61"/>
  <c r="F596" i="61"/>
  <c r="F595" i="61"/>
  <c r="F593" i="61"/>
  <c r="F589" i="61"/>
  <c r="I731" i="2" l="1"/>
  <c r="E173" i="3"/>
  <c r="D173" i="3"/>
  <c r="H725" i="2"/>
  <c r="J731" i="2"/>
  <c r="D167" i="3"/>
  <c r="F173" i="3"/>
  <c r="D405" i="3"/>
  <c r="H341" i="2"/>
  <c r="F322" i="61"/>
  <c r="F259" i="3"/>
  <c r="E259" i="3"/>
  <c r="D259" i="3"/>
  <c r="J78" i="2"/>
  <c r="I78" i="2"/>
  <c r="H78" i="2"/>
  <c r="G81" i="61"/>
  <c r="H81" i="61"/>
  <c r="F81" i="61"/>
  <c r="D257" i="3"/>
  <c r="H76" i="2"/>
  <c r="F79" i="61"/>
  <c r="D335" i="3"/>
  <c r="H309" i="2"/>
  <c r="F294" i="61"/>
  <c r="D270" i="3"/>
  <c r="H89" i="2"/>
  <c r="F92" i="61"/>
  <c r="F394" i="61"/>
  <c r="H427" i="2"/>
  <c r="D583" i="3"/>
  <c r="F197" i="61"/>
  <c r="H198" i="2"/>
  <c r="D430" i="3"/>
  <c r="F211" i="61"/>
  <c r="D444" i="3"/>
  <c r="H212" i="2"/>
  <c r="H627" i="2" l="1"/>
  <c r="D143" i="3"/>
  <c r="D83" i="3"/>
  <c r="H618" i="2"/>
  <c r="F567" i="61"/>
  <c r="F560" i="61"/>
  <c r="D529" i="3"/>
  <c r="D528" i="3" s="1"/>
  <c r="F528" i="3"/>
  <c r="E528" i="3"/>
  <c r="H393" i="2"/>
  <c r="J392" i="2"/>
  <c r="I392" i="2"/>
  <c r="H392" i="2"/>
  <c r="F365" i="61" l="1"/>
  <c r="F364" i="61" s="1"/>
  <c r="I25" i="63"/>
  <c r="D562" i="3"/>
  <c r="H446" i="2"/>
  <c r="F634" i="61"/>
  <c r="D92" i="3"/>
  <c r="H550" i="2"/>
  <c r="F460" i="61"/>
  <c r="D436" i="3"/>
  <c r="H204" i="2"/>
  <c r="F203" i="61"/>
  <c r="D627" i="3" l="1"/>
  <c r="H106" i="2"/>
  <c r="F109" i="61"/>
  <c r="D119" i="3" l="1"/>
  <c r="H582" i="2"/>
  <c r="F488" i="61"/>
  <c r="D341" i="3" l="1"/>
  <c r="H315" i="2"/>
  <c r="F300" i="61"/>
  <c r="D311" i="3"/>
  <c r="D305" i="3"/>
  <c r="H257" i="2"/>
  <c r="H251" i="2"/>
  <c r="F250" i="61"/>
  <c r="F244" i="61"/>
  <c r="F368" i="61" l="1"/>
  <c r="H396" i="2"/>
  <c r="D532" i="3"/>
  <c r="D504" i="3"/>
  <c r="H368" i="2"/>
  <c r="F349" i="61"/>
  <c r="F56" i="3" l="1"/>
  <c r="E56" i="3"/>
  <c r="D56" i="3"/>
  <c r="J522" i="2"/>
  <c r="I522" i="2"/>
  <c r="H522" i="2"/>
  <c r="G435" i="61" l="1"/>
  <c r="H435" i="61"/>
  <c r="F435" i="61"/>
  <c r="D478" i="3" l="1"/>
  <c r="D477" i="3" s="1"/>
  <c r="D476" i="3"/>
  <c r="D475" i="3"/>
  <c r="H125" i="2"/>
  <c r="H129" i="2"/>
  <c r="H128" i="2" s="1"/>
  <c r="H127" i="2"/>
  <c r="H126" i="2"/>
  <c r="F131" i="61"/>
  <c r="F129" i="61"/>
  <c r="D293" i="3" l="1"/>
  <c r="H174" i="2"/>
  <c r="F175" i="61"/>
  <c r="D77" i="3" l="1"/>
  <c r="H543" i="2"/>
  <c r="F454" i="61"/>
  <c r="K23" i="63" l="1"/>
  <c r="J23" i="63"/>
  <c r="I23" i="63"/>
  <c r="D55" i="3" l="1"/>
  <c r="H521" i="2"/>
  <c r="F434" i="61" l="1"/>
  <c r="F68" i="61" l="1"/>
  <c r="D609" i="3"/>
  <c r="D607" i="3"/>
  <c r="H794" i="2"/>
  <c r="J302" i="2"/>
  <c r="J301" i="2" s="1"/>
  <c r="J300" i="2" s="1"/>
  <c r="I302" i="2"/>
  <c r="I301" i="2" s="1"/>
  <c r="I300" i="2" s="1"/>
  <c r="H302" i="2"/>
  <c r="H301" i="2" s="1"/>
  <c r="H300" i="2" s="1"/>
  <c r="H288" i="61"/>
  <c r="H287" i="61" s="1"/>
  <c r="H286" i="61" s="1"/>
  <c r="G288" i="61"/>
  <c r="G287" i="61" s="1"/>
  <c r="G286" i="61" s="1"/>
  <c r="F288" i="61"/>
  <c r="F287" i="61" s="1"/>
  <c r="F286" i="61" s="1"/>
  <c r="E42" i="1"/>
  <c r="E30" i="1"/>
  <c r="F91" i="3"/>
  <c r="E91" i="3"/>
  <c r="D91" i="3"/>
  <c r="D90" i="3"/>
  <c r="D89" i="3" s="1"/>
  <c r="F89" i="3"/>
  <c r="E89" i="3"/>
  <c r="J549" i="2"/>
  <c r="I549" i="2"/>
  <c r="H549" i="2"/>
  <c r="H548" i="2"/>
  <c r="H547" i="2" s="1"/>
  <c r="J547" i="2"/>
  <c r="I547" i="2"/>
  <c r="F458" i="61"/>
  <c r="H459" i="61"/>
  <c r="G459" i="61"/>
  <c r="F459" i="61"/>
  <c r="D442" i="3" l="1"/>
  <c r="H210" i="2"/>
  <c r="F209" i="61"/>
  <c r="E420" i="3" l="1"/>
  <c r="F420" i="3"/>
  <c r="I265" i="2"/>
  <c r="J265" i="2"/>
  <c r="G257" i="61"/>
  <c r="H257" i="61"/>
  <c r="F286" i="3"/>
  <c r="E286" i="3"/>
  <c r="D286" i="3"/>
  <c r="J167" i="2"/>
  <c r="I167" i="2"/>
  <c r="H167" i="2"/>
  <c r="F168" i="61"/>
  <c r="F517" i="3" l="1"/>
  <c r="E517" i="3"/>
  <c r="D517" i="3"/>
  <c r="F515" i="3"/>
  <c r="F514" i="3" s="1"/>
  <c r="E515" i="3"/>
  <c r="D515" i="3"/>
  <c r="E514" i="3"/>
  <c r="J381" i="2"/>
  <c r="I381" i="2"/>
  <c r="H381" i="2"/>
  <c r="G356" i="61"/>
  <c r="H356" i="61"/>
  <c r="F356" i="61"/>
  <c r="D258" i="3"/>
  <c r="H77" i="2"/>
  <c r="F80" i="61"/>
  <c r="D514" i="3" l="1"/>
  <c r="F375" i="61"/>
  <c r="D540" i="3"/>
  <c r="H404" i="2"/>
  <c r="H354" i="61" l="1"/>
  <c r="G354" i="61"/>
  <c r="F354" i="61"/>
  <c r="H379" i="2"/>
  <c r="H378" i="2" s="1"/>
  <c r="J379" i="2"/>
  <c r="J378" i="2" s="1"/>
  <c r="I379" i="2"/>
  <c r="I378" i="2" s="1"/>
  <c r="D285" i="3" l="1"/>
  <c r="H166" i="2"/>
  <c r="F167" i="61"/>
  <c r="D383" i="3" l="1"/>
  <c r="D382" i="3" s="1"/>
  <c r="D381" i="3"/>
  <c r="D380" i="3" s="1"/>
  <c r="H359" i="2"/>
  <c r="H358" i="2" s="1"/>
  <c r="H357" i="2"/>
  <c r="H356" i="2" s="1"/>
  <c r="F337" i="61"/>
  <c r="F335" i="61"/>
  <c r="E606" i="3" l="1"/>
  <c r="E605" i="3" s="1"/>
  <c r="F606" i="3"/>
  <c r="F605" i="3" s="1"/>
  <c r="D606" i="3"/>
  <c r="J430" i="2"/>
  <c r="J429" i="2" s="1"/>
  <c r="J428" i="2" s="1"/>
  <c r="I430" i="2"/>
  <c r="I429" i="2" s="1"/>
  <c r="I428" i="2" s="1"/>
  <c r="H430" i="2"/>
  <c r="H429" i="2" s="1"/>
  <c r="H428" i="2" s="1"/>
  <c r="H397" i="61"/>
  <c r="H396" i="61" s="1"/>
  <c r="H395" i="61" s="1"/>
  <c r="G397" i="61"/>
  <c r="G396" i="61" s="1"/>
  <c r="G395" i="61" s="1"/>
  <c r="F397" i="61"/>
  <c r="F396" i="61" s="1"/>
  <c r="F395" i="61" s="1"/>
  <c r="F140" i="61" l="1"/>
  <c r="H140" i="2"/>
  <c r="D489" i="3"/>
  <c r="D487" i="3"/>
  <c r="H138" i="2"/>
  <c r="F138" i="61"/>
  <c r="F86" i="61" l="1"/>
  <c r="D657" i="3" l="1"/>
  <c r="D373" i="3"/>
  <c r="H296" i="2"/>
  <c r="H32" i="2"/>
  <c r="F283" i="61"/>
  <c r="F36" i="61"/>
  <c r="E26" i="1"/>
  <c r="H456" i="2" l="1"/>
  <c r="H455" i="2" s="1"/>
  <c r="H454" i="2" s="1"/>
  <c r="H453" i="2" s="1"/>
  <c r="J455" i="2"/>
  <c r="J454" i="2" s="1"/>
  <c r="J453" i="2" s="1"/>
  <c r="I455" i="2"/>
  <c r="I454" i="2" s="1"/>
  <c r="I453" i="2" s="1"/>
  <c r="F647" i="61"/>
  <c r="F646" i="61" s="1"/>
  <c r="F645" i="61" s="1"/>
  <c r="F644" i="61" s="1"/>
  <c r="H646" i="61"/>
  <c r="H645" i="61" s="1"/>
  <c r="H644" i="61" s="1"/>
  <c r="G646" i="61"/>
  <c r="G645" i="61" s="1"/>
  <c r="G644" i="61" s="1"/>
  <c r="E58" i="1" l="1"/>
  <c r="D438" i="3"/>
  <c r="H206" i="2"/>
  <c r="F205" i="61"/>
  <c r="F267" i="61" l="1"/>
  <c r="H277" i="2"/>
  <c r="F539" i="3" l="1"/>
  <c r="E539" i="3"/>
  <c r="D539" i="3"/>
  <c r="J403" i="2"/>
  <c r="I403" i="2"/>
  <c r="H403" i="2"/>
  <c r="G374" i="61"/>
  <c r="H374" i="61"/>
  <c r="F374" i="61"/>
  <c r="H81" i="2" l="1"/>
  <c r="F84" i="61"/>
  <c r="F503" i="3"/>
  <c r="E503" i="3"/>
  <c r="D503" i="3"/>
  <c r="J367" i="2"/>
  <c r="I367" i="2"/>
  <c r="H367" i="2"/>
  <c r="G348" i="61"/>
  <c r="H348" i="61"/>
  <c r="F348" i="61"/>
  <c r="H91" i="61" l="1"/>
  <c r="G91" i="61"/>
  <c r="F91" i="61"/>
  <c r="J88" i="2"/>
  <c r="I88" i="2"/>
  <c r="H88" i="2"/>
  <c r="E269" i="3"/>
  <c r="F269" i="3"/>
  <c r="D262" i="3"/>
  <c r="D269" i="3"/>
  <c r="D582" i="3" l="1"/>
  <c r="D581" i="3" s="1"/>
  <c r="D580" i="3" s="1"/>
  <c r="F582" i="3"/>
  <c r="F581" i="3" s="1"/>
  <c r="F580" i="3" s="1"/>
  <c r="E582" i="3"/>
  <c r="E581" i="3" s="1"/>
  <c r="E580" i="3" s="1"/>
  <c r="H426" i="2"/>
  <c r="H425" i="2" s="1"/>
  <c r="H424" i="2" s="1"/>
  <c r="J426" i="2"/>
  <c r="J425" i="2" s="1"/>
  <c r="J424" i="2" s="1"/>
  <c r="I426" i="2"/>
  <c r="I425" i="2" s="1"/>
  <c r="I424" i="2" s="1"/>
  <c r="G393" i="61"/>
  <c r="G392" i="61" s="1"/>
  <c r="H393" i="61"/>
  <c r="H392" i="61" s="1"/>
  <c r="F393" i="61"/>
  <c r="F392" i="61" s="1"/>
  <c r="F304" i="61" l="1"/>
  <c r="H319" i="2"/>
  <c r="D345" i="3"/>
  <c r="F364" i="3" l="1"/>
  <c r="E364" i="3"/>
  <c r="D364" i="3"/>
  <c r="J287" i="2"/>
  <c r="I287" i="2"/>
  <c r="H287" i="2"/>
  <c r="G275" i="61"/>
  <c r="H275" i="61"/>
  <c r="F275" i="61"/>
  <c r="D354" i="3"/>
  <c r="D367" i="3"/>
  <c r="H290" i="2"/>
  <c r="F278" i="61"/>
  <c r="H168" i="61" l="1"/>
  <c r="G168" i="61"/>
  <c r="F197" i="3" l="1"/>
  <c r="E197" i="3"/>
  <c r="D197" i="3"/>
  <c r="J744" i="2"/>
  <c r="I744" i="2"/>
  <c r="H744" i="2"/>
  <c r="F606" i="61"/>
  <c r="G606" i="61"/>
  <c r="H606" i="61"/>
  <c r="F274" i="61" l="1"/>
  <c r="H285" i="2"/>
  <c r="D362" i="3"/>
  <c r="D350" i="3"/>
  <c r="H273" i="2"/>
  <c r="F264" i="61"/>
  <c r="D398" i="3" l="1"/>
  <c r="F398" i="3"/>
  <c r="E398" i="3"/>
  <c r="J334" i="2"/>
  <c r="I334" i="2"/>
  <c r="G316" i="61"/>
  <c r="H316" i="61"/>
  <c r="F316" i="61"/>
  <c r="E55" i="1" l="1"/>
  <c r="F211" i="3"/>
  <c r="E211" i="3"/>
  <c r="D211" i="3"/>
  <c r="J763" i="2"/>
  <c r="I763" i="2"/>
  <c r="H763" i="2"/>
  <c r="H622" i="61"/>
  <c r="G622" i="61"/>
  <c r="F622" i="61"/>
  <c r="E52" i="1" l="1"/>
  <c r="D157" i="3"/>
  <c r="D156" i="3" s="1"/>
  <c r="F156" i="3"/>
  <c r="E156" i="3"/>
  <c r="H639" i="2"/>
  <c r="H638" i="2" s="1"/>
  <c r="J638" i="2"/>
  <c r="I638" i="2"/>
  <c r="F577" i="61"/>
  <c r="D500" i="3" l="1"/>
  <c r="H364" i="2"/>
  <c r="F341" i="61"/>
  <c r="H678" i="2" l="1"/>
  <c r="D187" i="3"/>
  <c r="F509" i="61"/>
  <c r="D569" i="3" l="1"/>
  <c r="D567" i="3"/>
  <c r="H413" i="2"/>
  <c r="H411" i="2"/>
  <c r="F381" i="61"/>
  <c r="F383" i="61"/>
  <c r="D64" i="3" l="1"/>
  <c r="H530" i="2"/>
  <c r="D66" i="3" l="1"/>
  <c r="H532" i="2"/>
  <c r="F349" i="3" l="1"/>
  <c r="E349" i="3"/>
  <c r="D349" i="3"/>
  <c r="J272" i="2"/>
  <c r="I272" i="2"/>
  <c r="H272" i="2"/>
  <c r="G263" i="61"/>
  <c r="H263" i="61"/>
  <c r="F263" i="61"/>
  <c r="D440" i="3" l="1"/>
  <c r="H208" i="2"/>
  <c r="F207" i="61"/>
  <c r="J365" i="2" l="1"/>
  <c r="I365" i="2"/>
  <c r="H365" i="2"/>
  <c r="G345" i="61"/>
  <c r="G344" i="61" s="1"/>
  <c r="F344" i="61"/>
  <c r="H342" i="61"/>
  <c r="G342" i="61"/>
  <c r="F342" i="61"/>
  <c r="E501" i="3"/>
  <c r="F501" i="3"/>
  <c r="D501" i="3"/>
  <c r="H345" i="61"/>
  <c r="H344" i="61" l="1"/>
  <c r="D276" i="3"/>
  <c r="H95" i="2"/>
  <c r="F98" i="61"/>
  <c r="D256" i="3" l="1"/>
  <c r="F256" i="3"/>
  <c r="E256" i="3"/>
  <c r="H75" i="2"/>
  <c r="J75" i="2"/>
  <c r="I75" i="2"/>
  <c r="G78" i="61"/>
  <c r="H78" i="61"/>
  <c r="F78" i="61"/>
  <c r="F382" i="61" l="1"/>
  <c r="F380" i="61"/>
  <c r="H412" i="2"/>
  <c r="H410" i="2"/>
  <c r="D568" i="3" l="1"/>
  <c r="D566" i="3"/>
  <c r="D207" i="3" l="1"/>
  <c r="H751" i="2"/>
  <c r="F590" i="61"/>
  <c r="F611" i="61"/>
  <c r="D37" i="3" l="1"/>
  <c r="H505" i="2"/>
  <c r="F419" i="61"/>
  <c r="F308" i="61" l="1"/>
  <c r="H324" i="2"/>
  <c r="D388" i="3"/>
  <c r="D426" i="3"/>
  <c r="H194" i="2"/>
  <c r="F193" i="61"/>
  <c r="D456" i="3"/>
  <c r="H188" i="2"/>
  <c r="F188" i="61"/>
  <c r="D643" i="3" l="1"/>
  <c r="D642" i="3"/>
  <c r="D641" i="3"/>
  <c r="H114" i="2"/>
  <c r="H113" i="2"/>
  <c r="H112" i="2"/>
  <c r="F115" i="61"/>
  <c r="F117" i="61"/>
  <c r="D651" i="3" l="1"/>
  <c r="H58" i="2"/>
  <c r="H57" i="2"/>
  <c r="H56" i="2"/>
  <c r="F44" i="61"/>
  <c r="F46" i="61"/>
  <c r="D180" i="3" l="1"/>
  <c r="D179" i="3" s="1"/>
  <c r="H738" i="2"/>
  <c r="H737" i="2" s="1"/>
  <c r="F601" i="61"/>
  <c r="F102" i="3" l="1"/>
  <c r="E102" i="3"/>
  <c r="D102" i="3"/>
  <c r="F100" i="3"/>
  <c r="E100" i="3"/>
  <c r="D100" i="3"/>
  <c r="D99" i="3"/>
  <c r="D98" i="3" s="1"/>
  <c r="F98" i="3"/>
  <c r="E98" i="3"/>
  <c r="D97" i="3"/>
  <c r="D96" i="3" s="1"/>
  <c r="F96" i="3"/>
  <c r="E96" i="3"/>
  <c r="J560" i="2"/>
  <c r="I560" i="2"/>
  <c r="H560" i="2"/>
  <c r="J558" i="2"/>
  <c r="I558" i="2"/>
  <c r="H558" i="2"/>
  <c r="H557" i="2"/>
  <c r="H556" i="2" s="1"/>
  <c r="J556" i="2"/>
  <c r="I556" i="2"/>
  <c r="H555" i="2"/>
  <c r="H554" i="2" s="1"/>
  <c r="J554" i="2"/>
  <c r="I554" i="2"/>
  <c r="F69" i="3"/>
  <c r="E69" i="3"/>
  <c r="D69" i="3"/>
  <c r="J535" i="2"/>
  <c r="I535" i="2"/>
  <c r="H535" i="2"/>
  <c r="G447" i="61"/>
  <c r="H447" i="61"/>
  <c r="F447" i="61"/>
  <c r="G469" i="61"/>
  <c r="H469" i="61"/>
  <c r="G465" i="61"/>
  <c r="H465" i="61"/>
  <c r="D148" i="3"/>
  <c r="H630" i="2"/>
  <c r="F569" i="61" l="1"/>
  <c r="F464" i="61" l="1"/>
  <c r="F469" i="61"/>
  <c r="H467" i="61"/>
  <c r="G467" i="61"/>
  <c r="F467" i="61"/>
  <c r="D403" i="3" l="1"/>
  <c r="H339" i="2"/>
  <c r="F320" i="61"/>
  <c r="D647" i="3"/>
  <c r="H48" i="2"/>
  <c r="F29" i="61"/>
  <c r="D65" i="3" l="1"/>
  <c r="H531" i="2"/>
  <c r="D243" i="3" l="1"/>
  <c r="F242" i="3"/>
  <c r="E242" i="3"/>
  <c r="D242" i="3"/>
  <c r="H767" i="2"/>
  <c r="J766" i="2"/>
  <c r="I766" i="2"/>
  <c r="H766" i="2"/>
  <c r="F626" i="61"/>
  <c r="F625" i="61" s="1"/>
  <c r="G588" i="61" l="1"/>
  <c r="H588" i="61"/>
  <c r="F275" i="3" l="1"/>
  <c r="E275" i="3"/>
  <c r="D275" i="3"/>
  <c r="F273" i="3"/>
  <c r="E273" i="3"/>
  <c r="D273" i="3"/>
  <c r="F271" i="3"/>
  <c r="E271" i="3"/>
  <c r="D271" i="3"/>
  <c r="F261" i="3"/>
  <c r="E261" i="3"/>
  <c r="D261" i="3"/>
  <c r="J94" i="2"/>
  <c r="I94" i="2"/>
  <c r="H94" i="2"/>
  <c r="J92" i="2"/>
  <c r="I92" i="2"/>
  <c r="H92" i="2"/>
  <c r="J90" i="2"/>
  <c r="I90" i="2"/>
  <c r="H90" i="2"/>
  <c r="J80" i="2"/>
  <c r="I80" i="2"/>
  <c r="H80" i="2"/>
  <c r="F640" i="3" l="1"/>
  <c r="E640" i="3"/>
  <c r="D640" i="3"/>
  <c r="H111" i="2"/>
  <c r="J111" i="2"/>
  <c r="I111" i="2"/>
  <c r="H55" i="2" l="1"/>
  <c r="J55" i="2"/>
  <c r="I55" i="2"/>
  <c r="G43" i="61"/>
  <c r="H43" i="61"/>
  <c r="H518" i="2" l="1"/>
  <c r="J518" i="2"/>
  <c r="I518" i="2"/>
  <c r="J516" i="2"/>
  <c r="J515" i="2" s="1"/>
  <c r="I516" i="2"/>
  <c r="H516" i="2"/>
  <c r="H520" i="2"/>
  <c r="I520" i="2"/>
  <c r="J520" i="2"/>
  <c r="H529" i="2"/>
  <c r="I529" i="2"/>
  <c r="J529" i="2"/>
  <c r="I531" i="2"/>
  <c r="J531" i="2"/>
  <c r="I533" i="2"/>
  <c r="J533" i="2"/>
  <c r="H534" i="2"/>
  <c r="H533" i="2" s="1"/>
  <c r="H538" i="2"/>
  <c r="I538" i="2"/>
  <c r="J538" i="2"/>
  <c r="H540" i="2"/>
  <c r="I540" i="2"/>
  <c r="J540" i="2"/>
  <c r="H542" i="2"/>
  <c r="I542" i="2"/>
  <c r="J542" i="2"/>
  <c r="H545" i="2"/>
  <c r="H544" i="2" s="1"/>
  <c r="I545" i="2"/>
  <c r="I544" i="2" s="1"/>
  <c r="J545" i="2"/>
  <c r="J544" i="2" s="1"/>
  <c r="H552" i="2"/>
  <c r="H551" i="2" s="1"/>
  <c r="I552" i="2"/>
  <c r="J552" i="2"/>
  <c r="F443" i="3"/>
  <c r="E443" i="3"/>
  <c r="D443" i="3"/>
  <c r="D441" i="3"/>
  <c r="F441" i="3"/>
  <c r="E441" i="3"/>
  <c r="F439" i="3"/>
  <c r="E439" i="3"/>
  <c r="D439" i="3"/>
  <c r="D437" i="3"/>
  <c r="F437" i="3"/>
  <c r="E437" i="3"/>
  <c r="F435" i="3"/>
  <c r="E435" i="3"/>
  <c r="D435" i="3"/>
  <c r="D433" i="3"/>
  <c r="F433" i="3"/>
  <c r="E433" i="3"/>
  <c r="F431" i="3"/>
  <c r="E431" i="3"/>
  <c r="D431" i="3"/>
  <c r="F429" i="3"/>
  <c r="E429" i="3"/>
  <c r="D429" i="3"/>
  <c r="F427" i="3"/>
  <c r="E427" i="3"/>
  <c r="D427" i="3"/>
  <c r="F425" i="3"/>
  <c r="E425" i="3"/>
  <c r="D425" i="3"/>
  <c r="J211" i="2"/>
  <c r="I211" i="2"/>
  <c r="H211" i="2"/>
  <c r="H209" i="2"/>
  <c r="J209" i="2"/>
  <c r="I209" i="2"/>
  <c r="J207" i="2"/>
  <c r="I207" i="2"/>
  <c r="H207" i="2"/>
  <c r="H205" i="2"/>
  <c r="J205" i="2"/>
  <c r="I205" i="2"/>
  <c r="J203" i="2"/>
  <c r="I203" i="2"/>
  <c r="H203" i="2"/>
  <c r="H201" i="2"/>
  <c r="J201" i="2"/>
  <c r="I201" i="2"/>
  <c r="J199" i="2"/>
  <c r="I199" i="2"/>
  <c r="H199" i="2"/>
  <c r="J197" i="2"/>
  <c r="I197" i="2"/>
  <c r="H197" i="2"/>
  <c r="J195" i="2"/>
  <c r="I195" i="2"/>
  <c r="H195" i="2"/>
  <c r="J193" i="2"/>
  <c r="I193" i="2"/>
  <c r="H193" i="2"/>
  <c r="J73" i="2"/>
  <c r="I73" i="2"/>
  <c r="H73" i="2"/>
  <c r="J71" i="2"/>
  <c r="J70" i="2" s="1"/>
  <c r="I71" i="2"/>
  <c r="I70" i="2" s="1"/>
  <c r="H71" i="2"/>
  <c r="H70" i="2" s="1"/>
  <c r="H68" i="2"/>
  <c r="H67" i="2" s="1"/>
  <c r="I68" i="2"/>
  <c r="I67" i="2" s="1"/>
  <c r="J68" i="2"/>
  <c r="J67" i="2" s="1"/>
  <c r="H515" i="2" l="1"/>
  <c r="I515" i="2"/>
  <c r="E424" i="3"/>
  <c r="F424" i="3"/>
  <c r="H192" i="2"/>
  <c r="I192" i="2"/>
  <c r="J192" i="2"/>
  <c r="D424" i="3"/>
  <c r="I528" i="2"/>
  <c r="H528" i="2"/>
  <c r="J528" i="2"/>
  <c r="I537" i="2"/>
  <c r="J551" i="2"/>
  <c r="I551" i="2"/>
  <c r="H537" i="2"/>
  <c r="J537" i="2"/>
  <c r="F578" i="3" l="1"/>
  <c r="F577" i="3" s="1"/>
  <c r="E578" i="3"/>
  <c r="E577" i="3" s="1"/>
  <c r="D578" i="3"/>
  <c r="D577" i="3" s="1"/>
  <c r="J422" i="2"/>
  <c r="J421" i="2" s="1"/>
  <c r="I422" i="2"/>
  <c r="I421" i="2" s="1"/>
  <c r="H422" i="2"/>
  <c r="H421" i="2" s="1"/>
  <c r="G390" i="61"/>
  <c r="G389" i="61" s="1"/>
  <c r="H390" i="61"/>
  <c r="H389" i="61" s="1"/>
  <c r="F390" i="61"/>
  <c r="F389" i="61" s="1"/>
  <c r="F466" i="61" l="1"/>
  <c r="F93" i="61"/>
  <c r="H97" i="61" l="1"/>
  <c r="G97" i="61"/>
  <c r="G95" i="61"/>
  <c r="H95" i="61"/>
  <c r="F97" i="61"/>
  <c r="G93" i="61"/>
  <c r="H93" i="61"/>
  <c r="G85" i="61"/>
  <c r="H85" i="61"/>
  <c r="F85" i="61"/>
  <c r="F95" i="61"/>
  <c r="H83" i="61"/>
  <c r="G83" i="61"/>
  <c r="F83" i="61"/>
  <c r="H198" i="61" l="1"/>
  <c r="G198" i="61"/>
  <c r="F198" i="61"/>
  <c r="D555" i="3" l="1"/>
  <c r="H470" i="2"/>
  <c r="F663" i="61"/>
  <c r="H210" i="61"/>
  <c r="G210" i="61"/>
  <c r="F210" i="61"/>
  <c r="D161" i="3" l="1"/>
  <c r="H643" i="2"/>
  <c r="F581" i="61"/>
  <c r="F112" i="61"/>
  <c r="H109" i="2"/>
  <c r="D638" i="3"/>
  <c r="F200" i="3"/>
  <c r="E200" i="3"/>
  <c r="D200" i="3"/>
  <c r="D199" i="3" s="1"/>
  <c r="D634" i="3"/>
  <c r="H149" i="2"/>
  <c r="F148" i="61"/>
  <c r="D656" i="3"/>
  <c r="H31" i="2"/>
  <c r="F35" i="61"/>
  <c r="D654" i="3"/>
  <c r="H29" i="2"/>
  <c r="F33" i="61"/>
  <c r="F588" i="61" l="1"/>
  <c r="F540" i="61"/>
  <c r="H708" i="2"/>
  <c r="D240" i="3"/>
  <c r="D235" i="3"/>
  <c r="H703" i="2"/>
  <c r="F536" i="61"/>
  <c r="F195" i="3"/>
  <c r="E195" i="3"/>
  <c r="D195" i="3"/>
  <c r="J742" i="2"/>
  <c r="I742" i="2"/>
  <c r="H742" i="2"/>
  <c r="H604" i="61"/>
  <c r="G604" i="61"/>
  <c r="F604" i="61"/>
  <c r="H514" i="61" l="1"/>
  <c r="G514" i="61"/>
  <c r="F514" i="61"/>
  <c r="J684" i="2"/>
  <c r="I684" i="2"/>
  <c r="H684" i="2"/>
  <c r="H683" i="2" s="1"/>
  <c r="D508" i="3" l="1"/>
  <c r="H372" i="2"/>
  <c r="F347" i="61"/>
  <c r="D68" i="3"/>
  <c r="F446" i="61"/>
  <c r="D317" i="3"/>
  <c r="H479" i="2"/>
  <c r="F683" i="61"/>
  <c r="F689" i="61"/>
  <c r="H486" i="2"/>
  <c r="D324" i="3"/>
  <c r="D326" i="3"/>
  <c r="H488" i="2"/>
  <c r="F691" i="61"/>
  <c r="F344" i="3"/>
  <c r="E344" i="3"/>
  <c r="D344" i="3"/>
  <c r="J318" i="2"/>
  <c r="I318" i="2"/>
  <c r="H318" i="2"/>
  <c r="H303" i="61"/>
  <c r="G303" i="61"/>
  <c r="F303" i="61"/>
  <c r="D339" i="3" l="1"/>
  <c r="H313" i="2"/>
  <c r="F298" i="61"/>
  <c r="F116" i="61"/>
  <c r="F135" i="61"/>
  <c r="H134" i="2"/>
  <c r="D483" i="3"/>
  <c r="I126" i="2"/>
  <c r="J126" i="2"/>
  <c r="F94" i="3" l="1"/>
  <c r="E94" i="3"/>
  <c r="D94" i="3"/>
  <c r="D93" i="3" s="1"/>
  <c r="F465" i="61"/>
  <c r="H463" i="61"/>
  <c r="G463" i="61"/>
  <c r="F463" i="61"/>
  <c r="H461" i="61"/>
  <c r="G461" i="61"/>
  <c r="F461" i="61"/>
  <c r="F93" i="3" l="1"/>
  <c r="E93" i="3"/>
  <c r="F404" i="3" l="1"/>
  <c r="E404" i="3"/>
  <c r="D404" i="3"/>
  <c r="H321" i="61"/>
  <c r="G321" i="61"/>
  <c r="F321" i="61"/>
  <c r="I340" i="2"/>
  <c r="J340" i="2"/>
  <c r="H340" i="2"/>
  <c r="F221" i="3"/>
  <c r="E221" i="3"/>
  <c r="D221" i="3"/>
  <c r="J781" i="2"/>
  <c r="I781" i="2"/>
  <c r="H781" i="2"/>
  <c r="H674" i="61"/>
  <c r="G674" i="61"/>
  <c r="F674" i="61"/>
  <c r="D160" i="3" l="1"/>
  <c r="I642" i="2"/>
  <c r="J642" i="2"/>
  <c r="H642" i="2"/>
  <c r="G580" i="61"/>
  <c r="H580" i="61"/>
  <c r="F580" i="61"/>
  <c r="D194" i="3" l="1"/>
  <c r="H741" i="2"/>
  <c r="F603" i="61"/>
  <c r="F39" i="3" l="1"/>
  <c r="F38" i="3" s="1"/>
  <c r="E39" i="3"/>
  <c r="E38" i="3" s="1"/>
  <c r="D38" i="3"/>
  <c r="J507" i="2"/>
  <c r="J506" i="2" s="1"/>
  <c r="I507" i="2"/>
  <c r="I506" i="2" s="1"/>
  <c r="H506" i="2"/>
  <c r="F420" i="61"/>
  <c r="G421" i="61"/>
  <c r="G420" i="61" s="1"/>
  <c r="H421" i="61"/>
  <c r="H420" i="61" s="1"/>
  <c r="D141" i="3" l="1"/>
  <c r="H606" i="2"/>
  <c r="F523" i="61"/>
  <c r="F153" i="3" l="1"/>
  <c r="E153" i="3"/>
  <c r="H574" i="61"/>
  <c r="G574" i="61"/>
  <c r="F141" i="3"/>
  <c r="H523" i="61"/>
  <c r="J635" i="2"/>
  <c r="I635" i="2"/>
  <c r="J606" i="2"/>
  <c r="D109" i="3"/>
  <c r="H567" i="2"/>
  <c r="F474" i="61"/>
  <c r="D153" i="3"/>
  <c r="H635" i="2"/>
  <c r="F574" i="61"/>
  <c r="G364" i="61" l="1"/>
  <c r="H364" i="61"/>
  <c r="D648" i="3" l="1"/>
  <c r="F45" i="61"/>
  <c r="F43" i="61" s="1"/>
  <c r="D574" i="3" l="1"/>
  <c r="H418" i="2"/>
  <c r="F387" i="61"/>
  <c r="F548" i="3" l="1"/>
  <c r="E548" i="3"/>
  <c r="D548" i="3"/>
  <c r="J463" i="2"/>
  <c r="I463" i="2"/>
  <c r="H463" i="2"/>
  <c r="G658" i="61"/>
  <c r="H658" i="61"/>
  <c r="F658" i="61"/>
  <c r="D108" i="3" l="1"/>
  <c r="D107" i="3" s="1"/>
  <c r="D217" i="3" l="1"/>
  <c r="D215" i="3" s="1"/>
  <c r="F215" i="3"/>
  <c r="E215" i="3"/>
  <c r="H777" i="2"/>
  <c r="H775" i="2" s="1"/>
  <c r="J775" i="2"/>
  <c r="I775" i="2"/>
  <c r="F670" i="61"/>
  <c r="F668" i="61" s="1"/>
  <c r="F388" i="61" l="1"/>
  <c r="F114" i="3" l="1"/>
  <c r="E114" i="3"/>
  <c r="J577" i="2"/>
  <c r="I577" i="2"/>
  <c r="F483" i="61"/>
  <c r="H483" i="61"/>
  <c r="G483" i="61"/>
  <c r="F600" i="61" l="1"/>
  <c r="D204" i="3" l="1"/>
  <c r="H748" i="2"/>
  <c r="F609" i="61"/>
  <c r="D421" i="3" l="1"/>
  <c r="D420" i="3" s="1"/>
  <c r="D419" i="3"/>
  <c r="D418" i="3" s="1"/>
  <c r="H266" i="2"/>
  <c r="H265" i="2" s="1"/>
  <c r="H264" i="2"/>
  <c r="H263" i="2" s="1"/>
  <c r="F258" i="61"/>
  <c r="F256" i="61"/>
  <c r="H473" i="61" l="1"/>
  <c r="G473" i="61"/>
  <c r="F473" i="61"/>
  <c r="J566" i="2"/>
  <c r="J565" i="2" s="1"/>
  <c r="I566" i="2"/>
  <c r="I565" i="2" s="1"/>
  <c r="H566" i="2"/>
  <c r="H565" i="2" s="1"/>
  <c r="E108" i="3"/>
  <c r="E107" i="3" s="1"/>
  <c r="F108" i="3"/>
  <c r="F107" i="3" s="1"/>
  <c r="F319" i="3" l="1"/>
  <c r="E319" i="3"/>
  <c r="D319" i="3"/>
  <c r="J481" i="2"/>
  <c r="I481" i="2"/>
  <c r="H481" i="2"/>
  <c r="G685" i="61"/>
  <c r="H685" i="61"/>
  <c r="F685" i="61"/>
  <c r="F106" i="3"/>
  <c r="E106" i="3"/>
  <c r="D106" i="3"/>
  <c r="J564" i="2"/>
  <c r="I564" i="2"/>
  <c r="H564" i="2"/>
  <c r="H472" i="61"/>
  <c r="G472" i="61"/>
  <c r="F472" i="61"/>
  <c r="F145" i="3"/>
  <c r="E145" i="3"/>
  <c r="D145" i="3"/>
  <c r="J652" i="2"/>
  <c r="I652" i="2"/>
  <c r="H652" i="2"/>
  <c r="G639" i="61"/>
  <c r="H639" i="61"/>
  <c r="F639" i="61"/>
  <c r="F589" i="3" l="1"/>
  <c r="E589" i="3"/>
  <c r="D589" i="3"/>
  <c r="J218" i="2"/>
  <c r="I218" i="2"/>
  <c r="H218" i="2"/>
  <c r="G216" i="61"/>
  <c r="H216" i="61"/>
  <c r="F216" i="61"/>
  <c r="H352" i="61" l="1"/>
  <c r="G352" i="61"/>
  <c r="F352" i="61"/>
  <c r="H350" i="61"/>
  <c r="G350" i="61"/>
  <c r="F350" i="61"/>
  <c r="J376" i="2"/>
  <c r="I376" i="2"/>
  <c r="H376" i="2"/>
  <c r="J374" i="2"/>
  <c r="I374" i="2"/>
  <c r="H374" i="2"/>
  <c r="F506" i="3"/>
  <c r="E506" i="3"/>
  <c r="J370" i="2"/>
  <c r="I370" i="2"/>
  <c r="F512" i="3" l="1"/>
  <c r="E512" i="3"/>
  <c r="D512" i="3"/>
  <c r="J373" i="2"/>
  <c r="I373" i="2"/>
  <c r="H373" i="2"/>
  <c r="F239" i="3" l="1"/>
  <c r="E239" i="3"/>
  <c r="D239" i="3"/>
  <c r="F237" i="3"/>
  <c r="E237" i="3"/>
  <c r="D237" i="3"/>
  <c r="J707" i="2"/>
  <c r="I707" i="2"/>
  <c r="H707" i="2"/>
  <c r="J705" i="2"/>
  <c r="I705" i="2"/>
  <c r="H705" i="2"/>
  <c r="G539" i="61"/>
  <c r="H539" i="61"/>
  <c r="F539" i="61"/>
  <c r="F186" i="3"/>
  <c r="E186" i="3"/>
  <c r="D186" i="3"/>
  <c r="F184" i="3"/>
  <c r="E184" i="3"/>
  <c r="D184" i="3"/>
  <c r="F182" i="3"/>
  <c r="E182" i="3"/>
  <c r="E181" i="3" s="1"/>
  <c r="D182" i="3"/>
  <c r="D181" i="3" s="1"/>
  <c r="J677" i="2"/>
  <c r="I677" i="2"/>
  <c r="H677" i="2"/>
  <c r="J675" i="2"/>
  <c r="I675" i="2"/>
  <c r="H675" i="2"/>
  <c r="J673" i="2"/>
  <c r="J672" i="2" s="1"/>
  <c r="I673" i="2"/>
  <c r="H673" i="2"/>
  <c r="F181" i="3" l="1"/>
  <c r="H672" i="2"/>
  <c r="I672" i="2"/>
  <c r="F166" i="3"/>
  <c r="D166" i="3"/>
  <c r="E166" i="3"/>
  <c r="I724" i="2"/>
  <c r="H724" i="2"/>
  <c r="J724" i="2"/>
  <c r="H671" i="2"/>
  <c r="I704" i="2"/>
  <c r="D236" i="3"/>
  <c r="E236" i="3"/>
  <c r="F236" i="3"/>
  <c r="H704" i="2"/>
  <c r="J704" i="2"/>
  <c r="E650" i="3" l="1"/>
  <c r="F650" i="3"/>
  <c r="F649" i="3"/>
  <c r="E649" i="3"/>
  <c r="E648" i="3" l="1"/>
  <c r="F648" i="3"/>
  <c r="E611" i="3"/>
  <c r="F611" i="3"/>
  <c r="D611" i="3"/>
  <c r="I52" i="2"/>
  <c r="J52" i="2"/>
  <c r="H52" i="2"/>
  <c r="G40" i="61"/>
  <c r="H40" i="61"/>
  <c r="F40" i="61"/>
  <c r="F154" i="3" l="1"/>
  <c r="E154" i="3"/>
  <c r="D154" i="3"/>
  <c r="F152" i="3"/>
  <c r="E152" i="3"/>
  <c r="D152" i="3"/>
  <c r="J636" i="2"/>
  <c r="I636" i="2"/>
  <c r="H636" i="2"/>
  <c r="J634" i="2"/>
  <c r="I634" i="2"/>
  <c r="H634" i="2"/>
  <c r="H487" i="61" l="1"/>
  <c r="G487" i="61"/>
  <c r="F487" i="61"/>
  <c r="H485" i="61"/>
  <c r="G485" i="61"/>
  <c r="F485" i="61"/>
  <c r="J581" i="2"/>
  <c r="I581" i="2"/>
  <c r="H581" i="2"/>
  <c r="J579" i="2"/>
  <c r="I579" i="2"/>
  <c r="H579" i="2"/>
  <c r="H574" i="2" s="1"/>
  <c r="I575" i="2"/>
  <c r="J575" i="2"/>
  <c r="J574" i="2" l="1"/>
  <c r="I574" i="2"/>
  <c r="H555" i="61"/>
  <c r="G555" i="61"/>
  <c r="F555" i="61"/>
  <c r="H553" i="61"/>
  <c r="G553" i="61"/>
  <c r="F553" i="61"/>
  <c r="J613" i="2"/>
  <c r="I613" i="2"/>
  <c r="H613" i="2"/>
  <c r="J611" i="2"/>
  <c r="I611" i="2"/>
  <c r="H611" i="2"/>
  <c r="F81" i="3"/>
  <c r="E81" i="3"/>
  <c r="D81" i="3"/>
  <c r="J616" i="2"/>
  <c r="I616" i="2"/>
  <c r="H616" i="2"/>
  <c r="H453" i="61"/>
  <c r="G453" i="61"/>
  <c r="F453" i="61"/>
  <c r="H451" i="61"/>
  <c r="G451" i="61"/>
  <c r="F451" i="61"/>
  <c r="H449" i="61"/>
  <c r="G449" i="61"/>
  <c r="F449" i="61"/>
  <c r="F65" i="3"/>
  <c r="E65" i="3"/>
  <c r="F63" i="3"/>
  <c r="E63" i="3"/>
  <c r="D63" i="3"/>
  <c r="F67" i="3"/>
  <c r="E67" i="3"/>
  <c r="D67" i="3"/>
  <c r="F62" i="3" l="1"/>
  <c r="D62" i="3"/>
  <c r="E62" i="3"/>
  <c r="H433" i="61"/>
  <c r="G433" i="61"/>
  <c r="F433" i="61"/>
  <c r="H431" i="61"/>
  <c r="G431" i="61"/>
  <c r="F431" i="61"/>
  <c r="H429" i="61"/>
  <c r="G429" i="61"/>
  <c r="F429" i="61"/>
  <c r="F36" i="3"/>
  <c r="F35" i="3" s="1"/>
  <c r="E36" i="3"/>
  <c r="E35" i="3" s="1"/>
  <c r="D36" i="3"/>
  <c r="D35" i="3" s="1"/>
  <c r="J504" i="2"/>
  <c r="J503" i="2" s="1"/>
  <c r="I504" i="2"/>
  <c r="I503" i="2" s="1"/>
  <c r="H504" i="2"/>
  <c r="H503" i="2" s="1"/>
  <c r="F29" i="3"/>
  <c r="E29" i="3"/>
  <c r="D29" i="3"/>
  <c r="F27" i="3"/>
  <c r="E27" i="3"/>
  <c r="E26" i="3" s="1"/>
  <c r="D27" i="3"/>
  <c r="J497" i="2"/>
  <c r="I497" i="2"/>
  <c r="H497" i="2"/>
  <c r="J495" i="2"/>
  <c r="J494" i="2" s="1"/>
  <c r="I495" i="2"/>
  <c r="H495" i="2"/>
  <c r="H494" i="2" l="1"/>
  <c r="I494" i="2"/>
  <c r="F26" i="3"/>
  <c r="D26" i="3"/>
  <c r="F573" i="3"/>
  <c r="E573" i="3"/>
  <c r="D573" i="3"/>
  <c r="F571" i="3"/>
  <c r="F570" i="3" s="1"/>
  <c r="E571" i="3"/>
  <c r="E570" i="3" s="1"/>
  <c r="D571" i="3"/>
  <c r="F568" i="3"/>
  <c r="E568" i="3"/>
  <c r="F566" i="3"/>
  <c r="E566" i="3"/>
  <c r="D565" i="3"/>
  <c r="H417" i="2"/>
  <c r="H415" i="2"/>
  <c r="F386" i="61"/>
  <c r="H376" i="61"/>
  <c r="G376" i="61"/>
  <c r="F376" i="61"/>
  <c r="H372" i="61"/>
  <c r="G372" i="61"/>
  <c r="F372" i="61"/>
  <c r="H369" i="61"/>
  <c r="G369" i="61"/>
  <c r="F369" i="61"/>
  <c r="H367" i="61"/>
  <c r="G367" i="61"/>
  <c r="F367" i="61"/>
  <c r="H361" i="61"/>
  <c r="G361" i="61"/>
  <c r="F361" i="61"/>
  <c r="H359" i="61"/>
  <c r="G359" i="61"/>
  <c r="F359" i="61"/>
  <c r="H346" i="61"/>
  <c r="G346" i="61"/>
  <c r="F346" i="61"/>
  <c r="H340" i="61"/>
  <c r="G340" i="61"/>
  <c r="F340" i="61"/>
  <c r="J405" i="2"/>
  <c r="I405" i="2"/>
  <c r="H405" i="2"/>
  <c r="J401" i="2"/>
  <c r="I401" i="2"/>
  <c r="H401" i="2"/>
  <c r="J397" i="2"/>
  <c r="I397" i="2"/>
  <c r="H397" i="2"/>
  <c r="J395" i="2"/>
  <c r="I395" i="2"/>
  <c r="H395" i="2"/>
  <c r="J388" i="2"/>
  <c r="J387" i="2" s="1"/>
  <c r="I388" i="2"/>
  <c r="I387" i="2" s="1"/>
  <c r="H388" i="2"/>
  <c r="H387" i="2" s="1"/>
  <c r="J385" i="2"/>
  <c r="J384" i="2" s="1"/>
  <c r="I385" i="2"/>
  <c r="I384" i="2" s="1"/>
  <c r="H385" i="2"/>
  <c r="H384" i="2" s="1"/>
  <c r="J371" i="2"/>
  <c r="I371" i="2"/>
  <c r="H371" i="2"/>
  <c r="J369" i="2"/>
  <c r="I369" i="2"/>
  <c r="H369" i="2"/>
  <c r="J363" i="2"/>
  <c r="I363" i="2"/>
  <c r="H363" i="2"/>
  <c r="F203" i="3"/>
  <c r="F202" i="3" s="1"/>
  <c r="F199" i="3" s="1"/>
  <c r="E203" i="3"/>
  <c r="E202" i="3" s="1"/>
  <c r="E199" i="3" s="1"/>
  <c r="D203" i="3"/>
  <c r="D202" i="3" s="1"/>
  <c r="H608" i="61"/>
  <c r="G608" i="61"/>
  <c r="F608" i="61"/>
  <c r="I747" i="2"/>
  <c r="I746" i="2" s="1"/>
  <c r="J747" i="2"/>
  <c r="J746" i="2" s="1"/>
  <c r="H747" i="2"/>
  <c r="H746" i="2" s="1"/>
  <c r="H339" i="61" l="1"/>
  <c r="F371" i="61"/>
  <c r="F339" i="61"/>
  <c r="G339" i="61"/>
  <c r="G371" i="61"/>
  <c r="H400" i="2"/>
  <c r="H399" i="2" s="1"/>
  <c r="J400" i="2"/>
  <c r="J399" i="2" s="1"/>
  <c r="I400" i="2"/>
  <c r="H362" i="2"/>
  <c r="H361" i="2" s="1"/>
  <c r="H371" i="61"/>
  <c r="I362" i="2"/>
  <c r="I361" i="2" s="1"/>
  <c r="J362" i="2"/>
  <c r="J361" i="2" s="1"/>
  <c r="I383" i="2"/>
  <c r="F363" i="61"/>
  <c r="J391" i="2"/>
  <c r="J390" i="2" s="1"/>
  <c r="I391" i="2"/>
  <c r="I390" i="2" s="1"/>
  <c r="J383" i="2"/>
  <c r="H391" i="2"/>
  <c r="H390" i="2" s="1"/>
  <c r="H363" i="61"/>
  <c r="G363" i="61"/>
  <c r="H383" i="2"/>
  <c r="H414" i="2"/>
  <c r="F565" i="3"/>
  <c r="F564" i="3" s="1"/>
  <c r="F563" i="3" s="1"/>
  <c r="E565" i="3"/>
  <c r="E564" i="3" s="1"/>
  <c r="E563" i="3" s="1"/>
  <c r="I399" i="2"/>
  <c r="D570" i="3"/>
  <c r="D564" i="3" s="1"/>
  <c r="D563" i="3" s="1"/>
  <c r="I360" i="2" l="1"/>
  <c r="H360" i="2"/>
  <c r="J360" i="2"/>
  <c r="F455" i="3" l="1"/>
  <c r="E455" i="3"/>
  <c r="D455" i="3"/>
  <c r="F453" i="3"/>
  <c r="E453" i="3"/>
  <c r="D453" i="3"/>
  <c r="F451" i="3"/>
  <c r="E451" i="3"/>
  <c r="D451" i="3"/>
  <c r="F449" i="3"/>
  <c r="E449" i="3"/>
  <c r="D449" i="3"/>
  <c r="F447" i="3"/>
  <c r="E447" i="3"/>
  <c r="D447" i="3"/>
  <c r="J187" i="2"/>
  <c r="I187" i="2"/>
  <c r="H187" i="2"/>
  <c r="J185" i="2"/>
  <c r="I185" i="2"/>
  <c r="H185" i="2"/>
  <c r="J183" i="2"/>
  <c r="I183" i="2"/>
  <c r="H183" i="2"/>
  <c r="J181" i="2"/>
  <c r="I181" i="2"/>
  <c r="H181" i="2"/>
  <c r="J179" i="2"/>
  <c r="I179" i="2"/>
  <c r="H179" i="2"/>
  <c r="G183" i="61"/>
  <c r="H183" i="61"/>
  <c r="F183" i="61"/>
  <c r="F130" i="61"/>
  <c r="F128" i="61"/>
  <c r="H178" i="2" l="1"/>
  <c r="D446" i="3"/>
  <c r="E446" i="3"/>
  <c r="F446" i="3"/>
  <c r="I178" i="2"/>
  <c r="J178" i="2"/>
  <c r="H144" i="61"/>
  <c r="G144" i="61"/>
  <c r="F144" i="61"/>
  <c r="H142" i="61"/>
  <c r="G142" i="61"/>
  <c r="F142" i="61"/>
  <c r="J145" i="2"/>
  <c r="I145" i="2"/>
  <c r="H145" i="2"/>
  <c r="J143" i="2"/>
  <c r="I143" i="2"/>
  <c r="H143" i="2"/>
  <c r="H139" i="61"/>
  <c r="G139" i="61"/>
  <c r="F139" i="61"/>
  <c r="H137" i="61"/>
  <c r="G137" i="61"/>
  <c r="F137" i="61"/>
  <c r="J139" i="2"/>
  <c r="I139" i="2"/>
  <c r="H139" i="2"/>
  <c r="J137" i="2"/>
  <c r="I137" i="2"/>
  <c r="H137" i="2"/>
  <c r="H133" i="61"/>
  <c r="G133" i="61"/>
  <c r="F133" i="61"/>
  <c r="J132" i="2"/>
  <c r="I132" i="2"/>
  <c r="H132" i="2"/>
  <c r="H130" i="61"/>
  <c r="G130" i="61"/>
  <c r="H128" i="61"/>
  <c r="G128" i="61"/>
  <c r="J128" i="2"/>
  <c r="I128" i="2"/>
  <c r="H336" i="61" l="1"/>
  <c r="G336" i="61"/>
  <c r="F336" i="61"/>
  <c r="H334" i="61"/>
  <c r="G334" i="61"/>
  <c r="F334" i="61"/>
  <c r="J358" i="2"/>
  <c r="I358" i="2"/>
  <c r="J356" i="2"/>
  <c r="I356" i="2"/>
  <c r="F254" i="3" l="1"/>
  <c r="E254" i="3"/>
  <c r="D254" i="3"/>
  <c r="F252" i="3"/>
  <c r="F251" i="3" s="1"/>
  <c r="E252" i="3"/>
  <c r="D252" i="3"/>
  <c r="H76" i="61"/>
  <c r="G76" i="61"/>
  <c r="F76" i="61"/>
  <c r="H74" i="61"/>
  <c r="G74" i="61"/>
  <c r="F74" i="61"/>
  <c r="F655" i="3"/>
  <c r="E655" i="3"/>
  <c r="D655" i="3"/>
  <c r="F653" i="3"/>
  <c r="E653" i="3"/>
  <c r="D653" i="3"/>
  <c r="J30" i="2"/>
  <c r="I30" i="2"/>
  <c r="H30" i="2"/>
  <c r="J28" i="2"/>
  <c r="I28" i="2"/>
  <c r="H28" i="2"/>
  <c r="D251" i="3" l="1"/>
  <c r="E251" i="3"/>
  <c r="H656" i="61"/>
  <c r="G656" i="61"/>
  <c r="F656" i="61"/>
  <c r="J461" i="2"/>
  <c r="J460" i="2" s="1"/>
  <c r="I461" i="2"/>
  <c r="I460" i="2" s="1"/>
  <c r="H461" i="2"/>
  <c r="H460" i="2" s="1"/>
  <c r="F368" i="3" l="1"/>
  <c r="E368" i="3"/>
  <c r="D368" i="3"/>
  <c r="F366" i="3"/>
  <c r="F363" i="3" s="1"/>
  <c r="E366" i="3"/>
  <c r="D366" i="3"/>
  <c r="J291" i="2"/>
  <c r="I291" i="2"/>
  <c r="H291" i="2"/>
  <c r="J289" i="2"/>
  <c r="I289" i="2"/>
  <c r="H289" i="2"/>
  <c r="H286" i="2" s="1"/>
  <c r="F361" i="3"/>
  <c r="E361" i="3"/>
  <c r="D361" i="3"/>
  <c r="F359" i="3"/>
  <c r="E359" i="3"/>
  <c r="D359" i="3"/>
  <c r="F357" i="3"/>
  <c r="E357" i="3"/>
  <c r="D357" i="3"/>
  <c r="J284" i="2"/>
  <c r="I284" i="2"/>
  <c r="H284" i="2"/>
  <c r="J282" i="2"/>
  <c r="I282" i="2"/>
  <c r="H282" i="2"/>
  <c r="J280" i="2"/>
  <c r="I280" i="2"/>
  <c r="H280" i="2"/>
  <c r="H276" i="2"/>
  <c r="H275" i="2" s="1"/>
  <c r="I276" i="2"/>
  <c r="I275" i="2" s="1"/>
  <c r="J276" i="2"/>
  <c r="J275" i="2" s="1"/>
  <c r="E363" i="3" l="1"/>
  <c r="D363" i="3"/>
  <c r="I286" i="2"/>
  <c r="J286" i="2"/>
  <c r="F310" i="3"/>
  <c r="E310" i="3"/>
  <c r="D310" i="3"/>
  <c r="J256" i="2"/>
  <c r="I256" i="2"/>
  <c r="H256" i="2"/>
  <c r="G249" i="61"/>
  <c r="H249" i="61"/>
  <c r="F249" i="61"/>
  <c r="H545" i="61" l="1"/>
  <c r="G545" i="61"/>
  <c r="F545" i="61"/>
  <c r="H543" i="61"/>
  <c r="G543" i="61"/>
  <c r="F543" i="61"/>
  <c r="J714" i="2"/>
  <c r="I714" i="2"/>
  <c r="H714" i="2"/>
  <c r="J712" i="2"/>
  <c r="I712" i="2"/>
  <c r="H712" i="2"/>
  <c r="H325" i="61" l="1"/>
  <c r="G325" i="61"/>
  <c r="J345" i="2"/>
  <c r="I345" i="2"/>
  <c r="F409" i="3"/>
  <c r="E409" i="3"/>
  <c r="J755" i="2" l="1"/>
  <c r="I755" i="2"/>
  <c r="H755" i="2"/>
  <c r="J753" i="2"/>
  <c r="J752" i="2" s="1"/>
  <c r="I753" i="2"/>
  <c r="I752" i="2" s="1"/>
  <c r="H753" i="2"/>
  <c r="F518" i="61"/>
  <c r="H350" i="2"/>
  <c r="I350" i="2"/>
  <c r="J350" i="2"/>
  <c r="J158" i="2"/>
  <c r="I158" i="2"/>
  <c r="J156" i="2"/>
  <c r="I156" i="2"/>
  <c r="H160" i="61"/>
  <c r="H158" i="61"/>
  <c r="H157" i="61" s="1"/>
  <c r="F595" i="3"/>
  <c r="F593" i="3"/>
  <c r="F602" i="3"/>
  <c r="E602" i="3"/>
  <c r="D602" i="3"/>
  <c r="F600" i="3"/>
  <c r="E600" i="3"/>
  <c r="D600" i="3"/>
  <c r="J227" i="2"/>
  <c r="I227" i="2"/>
  <c r="H227" i="2"/>
  <c r="J225" i="2"/>
  <c r="I225" i="2"/>
  <c r="H225" i="2"/>
  <c r="F591" i="3"/>
  <c r="E591" i="3"/>
  <c r="D591" i="3"/>
  <c r="E595" i="3"/>
  <c r="D595" i="3"/>
  <c r="E593" i="3"/>
  <c r="D593" i="3"/>
  <c r="H158" i="2"/>
  <c r="H156" i="2"/>
  <c r="H752" i="2" l="1"/>
  <c r="H382" i="61"/>
  <c r="G382" i="61"/>
  <c r="H380" i="61"/>
  <c r="G380" i="61"/>
  <c r="H386" i="61"/>
  <c r="G386" i="61"/>
  <c r="J412" i="2"/>
  <c r="I412" i="2"/>
  <c r="J410" i="2"/>
  <c r="I410" i="2"/>
  <c r="J417" i="2"/>
  <c r="I417" i="2"/>
  <c r="J415" i="2"/>
  <c r="J414" i="2" s="1"/>
  <c r="I415" i="2"/>
  <c r="I414" i="2" s="1"/>
  <c r="F418" i="3" l="1"/>
  <c r="E418" i="3"/>
  <c r="F416" i="3"/>
  <c r="E416" i="3"/>
  <c r="D416" i="3"/>
  <c r="D415" i="3" s="1"/>
  <c r="J263" i="2"/>
  <c r="I263" i="2"/>
  <c r="J261" i="2"/>
  <c r="J260" i="2" s="1"/>
  <c r="I261" i="2"/>
  <c r="H261" i="2"/>
  <c r="H260" i="2" s="1"/>
  <c r="F257" i="61"/>
  <c r="I260" i="2" l="1"/>
  <c r="E415" i="3"/>
  <c r="E414" i="3" s="1"/>
  <c r="F415" i="3"/>
  <c r="F414" i="3" s="1"/>
  <c r="F658" i="3"/>
  <c r="E658" i="3"/>
  <c r="J37" i="2"/>
  <c r="I37" i="2"/>
  <c r="G59" i="61"/>
  <c r="H59" i="61"/>
  <c r="F59" i="61"/>
  <c r="E390" i="3" l="1"/>
  <c r="F390" i="3"/>
  <c r="D390" i="3"/>
  <c r="D282" i="3" l="1"/>
  <c r="H236" i="2"/>
  <c r="H235" i="2" s="1"/>
  <c r="I788" i="2" l="1"/>
  <c r="J788" i="2"/>
  <c r="H788" i="2"/>
  <c r="E31" i="62" l="1"/>
  <c r="G31" i="62"/>
  <c r="F31" i="62"/>
  <c r="D31" i="62"/>
  <c r="C31" i="62"/>
  <c r="F505" i="3"/>
  <c r="E505" i="3"/>
  <c r="D505" i="3"/>
  <c r="F105" i="3" l="1"/>
  <c r="F104" i="3" s="1"/>
  <c r="E105" i="3"/>
  <c r="E104" i="3" s="1"/>
  <c r="D105" i="3"/>
  <c r="D104" i="3" s="1"/>
  <c r="H471" i="61"/>
  <c r="G471" i="61"/>
  <c r="F471" i="61"/>
  <c r="J563" i="2"/>
  <c r="J562" i="2" s="1"/>
  <c r="I563" i="2"/>
  <c r="I562" i="2" s="1"/>
  <c r="H563" i="2"/>
  <c r="H562" i="2" s="1"/>
  <c r="D488" i="3" l="1"/>
  <c r="D486" i="3"/>
  <c r="D551" i="3" l="1"/>
  <c r="D550" i="3" s="1"/>
  <c r="H466" i="2"/>
  <c r="H465" i="2" s="1"/>
  <c r="I316" i="2" l="1"/>
  <c r="J316" i="2"/>
  <c r="H316" i="2"/>
  <c r="H668" i="61" l="1"/>
  <c r="G668" i="61"/>
  <c r="J765" i="2" l="1"/>
  <c r="I765" i="2"/>
  <c r="H55" i="61"/>
  <c r="G55" i="61"/>
  <c r="E342" i="3"/>
  <c r="F342" i="3"/>
  <c r="D342" i="3"/>
  <c r="F112" i="3" l="1"/>
  <c r="E112" i="3"/>
  <c r="F481" i="61"/>
  <c r="G481" i="61"/>
  <c r="H481" i="61"/>
  <c r="F55" i="61" l="1"/>
  <c r="H301" i="61" l="1"/>
  <c r="G301" i="61"/>
  <c r="F301" i="61"/>
  <c r="H765" i="2" l="1"/>
  <c r="F546" i="3" l="1"/>
  <c r="F545" i="3" s="1"/>
  <c r="E546" i="3"/>
  <c r="E545" i="3" s="1"/>
  <c r="D546" i="3"/>
  <c r="D545" i="3" s="1"/>
  <c r="F576" i="3" l="1"/>
  <c r="E576" i="3"/>
  <c r="D576" i="3" l="1"/>
  <c r="D575" i="3" s="1"/>
  <c r="E149" i="3"/>
  <c r="D149" i="3"/>
  <c r="F149" i="3"/>
  <c r="I631" i="2"/>
  <c r="H631" i="2"/>
  <c r="J631" i="2"/>
  <c r="G570" i="61"/>
  <c r="H570" i="61"/>
  <c r="F570" i="61"/>
  <c r="H220" i="61" l="1"/>
  <c r="G220" i="61"/>
  <c r="F220" i="61"/>
  <c r="J222" i="2"/>
  <c r="I222" i="2"/>
  <c r="H222" i="2"/>
  <c r="F597" i="3"/>
  <c r="E597" i="3"/>
  <c r="D597" i="3"/>
  <c r="H247" i="61"/>
  <c r="G247" i="61"/>
  <c r="F247" i="61"/>
  <c r="H245" i="61"/>
  <c r="G245" i="61"/>
  <c r="F245" i="61"/>
  <c r="H243" i="61"/>
  <c r="G243" i="61"/>
  <c r="F243" i="61"/>
  <c r="H241" i="61"/>
  <c r="G241" i="61"/>
  <c r="F241" i="61"/>
  <c r="J254" i="2"/>
  <c r="I254" i="2"/>
  <c r="H254" i="2"/>
  <c r="J252" i="2"/>
  <c r="I252" i="2"/>
  <c r="H252" i="2"/>
  <c r="J250" i="2"/>
  <c r="I250" i="2"/>
  <c r="H250" i="2"/>
  <c r="J248" i="2"/>
  <c r="I248" i="2"/>
  <c r="H248" i="2"/>
  <c r="H239" i="61"/>
  <c r="G239" i="61"/>
  <c r="F239" i="61"/>
  <c r="H237" i="61"/>
  <c r="G237" i="61"/>
  <c r="F237" i="61"/>
  <c r="H235" i="61"/>
  <c r="G235" i="61"/>
  <c r="F235" i="61"/>
  <c r="J245" i="2"/>
  <c r="I245" i="2"/>
  <c r="H245" i="2"/>
  <c r="J243" i="2"/>
  <c r="I243" i="2"/>
  <c r="H243" i="2"/>
  <c r="J241" i="2"/>
  <c r="I241" i="2"/>
  <c r="H241" i="2"/>
  <c r="H174" i="61"/>
  <c r="H173" i="61" s="1"/>
  <c r="G174" i="61"/>
  <c r="G173" i="61" s="1"/>
  <c r="F174" i="61"/>
  <c r="F173" i="61" s="1"/>
  <c r="I247" i="2" l="1"/>
  <c r="H234" i="61"/>
  <c r="J247" i="2"/>
  <c r="J240" i="2"/>
  <c r="H247" i="2"/>
  <c r="F234" i="61"/>
  <c r="G234" i="61"/>
  <c r="H240" i="2"/>
  <c r="I240" i="2"/>
  <c r="H326" i="2"/>
  <c r="H597" i="61" l="1"/>
  <c r="G597" i="61"/>
  <c r="F597" i="61"/>
  <c r="G594" i="61"/>
  <c r="H592" i="61"/>
  <c r="G592" i="61"/>
  <c r="F592" i="61"/>
  <c r="F594" i="61" l="1"/>
  <c r="H594" i="61"/>
  <c r="F284" i="3" l="1"/>
  <c r="E284" i="3"/>
  <c r="D284" i="3"/>
  <c r="D281" i="3" s="1"/>
  <c r="J165" i="2" l="1"/>
  <c r="J164" i="2" s="1"/>
  <c r="I165" i="2"/>
  <c r="I164" i="2" s="1"/>
  <c r="H165" i="2"/>
  <c r="H164" i="2" s="1"/>
  <c r="H166" i="61"/>
  <c r="H165" i="61" s="1"/>
  <c r="G166" i="61"/>
  <c r="G165" i="61" s="1"/>
  <c r="F166" i="61"/>
  <c r="F165" i="61" s="1"/>
  <c r="I163" i="2" l="1"/>
  <c r="I162" i="2" s="1"/>
  <c r="H163" i="2"/>
  <c r="H162" i="2" s="1"/>
  <c r="J163" i="2"/>
  <c r="J162" i="2" s="1"/>
  <c r="H164" i="61"/>
  <c r="F164" i="61"/>
  <c r="G164" i="61"/>
  <c r="H660" i="61"/>
  <c r="G660" i="61"/>
  <c r="F660" i="61"/>
  <c r="J466" i="2"/>
  <c r="J465" i="2" s="1"/>
  <c r="I466" i="2"/>
  <c r="I465" i="2" s="1"/>
  <c r="D387" i="3"/>
  <c r="H323" i="2"/>
  <c r="F50" i="61" l="1"/>
  <c r="H62" i="2"/>
  <c r="I47" i="2"/>
  <c r="J47" i="2"/>
  <c r="H47" i="2"/>
  <c r="H625" i="61" l="1"/>
  <c r="H624" i="61" s="1"/>
  <c r="G625" i="61"/>
  <c r="G624" i="61" s="1"/>
  <c r="H537" i="61"/>
  <c r="G537" i="61"/>
  <c r="F537" i="61"/>
  <c r="H535" i="61"/>
  <c r="G535" i="61"/>
  <c r="F535" i="61"/>
  <c r="J702" i="2"/>
  <c r="I702" i="2"/>
  <c r="H702" i="2"/>
  <c r="H533" i="61"/>
  <c r="G533" i="61"/>
  <c r="F533" i="61"/>
  <c r="H531" i="61"/>
  <c r="G531" i="61"/>
  <c r="F531" i="61"/>
  <c r="H529" i="61"/>
  <c r="G529" i="61"/>
  <c r="F529" i="61"/>
  <c r="H527" i="61"/>
  <c r="G527" i="61"/>
  <c r="F527" i="61"/>
  <c r="J699" i="2"/>
  <c r="I699" i="2"/>
  <c r="H699" i="2"/>
  <c r="J697" i="2"/>
  <c r="I697" i="2"/>
  <c r="H697" i="2"/>
  <c r="J695" i="2"/>
  <c r="I695" i="2"/>
  <c r="H695" i="2"/>
  <c r="J693" i="2"/>
  <c r="I693" i="2"/>
  <c r="H693" i="2"/>
  <c r="H671" i="61"/>
  <c r="H667" i="61" s="1"/>
  <c r="G671" i="61"/>
  <c r="G667" i="61" s="1"/>
  <c r="F671" i="61"/>
  <c r="F667" i="61" s="1"/>
  <c r="J778" i="2"/>
  <c r="I778" i="2"/>
  <c r="H778" i="2"/>
  <c r="H602" i="61"/>
  <c r="G602" i="61"/>
  <c r="F602" i="61"/>
  <c r="J740" i="2"/>
  <c r="J739" i="2" s="1"/>
  <c r="I740" i="2"/>
  <c r="I739" i="2" s="1"/>
  <c r="H740" i="2"/>
  <c r="H739" i="2" s="1"/>
  <c r="F218" i="3"/>
  <c r="E218" i="3"/>
  <c r="D218" i="3"/>
  <c r="J774" i="2" l="1"/>
  <c r="J773" i="2" s="1"/>
  <c r="H774" i="2"/>
  <c r="H773" i="2" s="1"/>
  <c r="I774" i="2"/>
  <c r="I773" i="2" s="1"/>
  <c r="D214" i="3"/>
  <c r="D213" i="3" s="1"/>
  <c r="E214" i="3"/>
  <c r="E213" i="3" s="1"/>
  <c r="F214" i="3"/>
  <c r="F213" i="3" s="1"/>
  <c r="F526" i="61"/>
  <c r="G526" i="61"/>
  <c r="H526" i="61"/>
  <c r="H666" i="61"/>
  <c r="G666" i="61"/>
  <c r="G610" i="61"/>
  <c r="G587" i="61" s="1"/>
  <c r="H610" i="61"/>
  <c r="H587" i="61" s="1"/>
  <c r="F610" i="61"/>
  <c r="F587" i="61" s="1"/>
  <c r="H586" i="61" l="1"/>
  <c r="G586" i="61"/>
  <c r="F206" i="3"/>
  <c r="F205" i="3" s="1"/>
  <c r="E206" i="3"/>
  <c r="E205" i="3" s="1"/>
  <c r="D206" i="3"/>
  <c r="D205" i="3" s="1"/>
  <c r="F466" i="3" l="1"/>
  <c r="E466" i="3"/>
  <c r="D466" i="3"/>
  <c r="F464" i="3"/>
  <c r="E464" i="3"/>
  <c r="D464" i="3"/>
  <c r="F470" i="3"/>
  <c r="F469" i="3" s="1"/>
  <c r="E470" i="3"/>
  <c r="E469" i="3" s="1"/>
  <c r="D470" i="3"/>
  <c r="D469" i="3" s="1"/>
  <c r="H548" i="61"/>
  <c r="H547" i="61" s="1"/>
  <c r="G548" i="61"/>
  <c r="G547" i="61" s="1"/>
  <c r="F548" i="61"/>
  <c r="F547" i="61" s="1"/>
  <c r="I718" i="2"/>
  <c r="I717" i="2" s="1"/>
  <c r="J718" i="2"/>
  <c r="J717" i="2" s="1"/>
  <c r="H718" i="2"/>
  <c r="H717" i="2" s="1"/>
  <c r="E463" i="3" l="1"/>
  <c r="E462" i="3" s="1"/>
  <c r="F463" i="3"/>
  <c r="F462" i="3" s="1"/>
  <c r="D463" i="3"/>
  <c r="D462" i="3" s="1"/>
  <c r="D468" i="3"/>
  <c r="J716" i="2"/>
  <c r="F468" i="3"/>
  <c r="E468" i="3"/>
  <c r="H716" i="2"/>
  <c r="I716" i="2"/>
  <c r="G455" i="61" l="1"/>
  <c r="H455" i="61"/>
  <c r="F455" i="61"/>
  <c r="H575" i="61"/>
  <c r="G575" i="61"/>
  <c r="F575" i="61"/>
  <c r="H573" i="61"/>
  <c r="G573" i="61"/>
  <c r="F573" i="61"/>
  <c r="H500" i="61"/>
  <c r="G500" i="61"/>
  <c r="F500" i="61"/>
  <c r="J596" i="2"/>
  <c r="I596" i="2"/>
  <c r="H596" i="2"/>
  <c r="H564" i="61"/>
  <c r="G564" i="61"/>
  <c r="F564" i="61"/>
  <c r="J623" i="2"/>
  <c r="I623" i="2"/>
  <c r="H623" i="2"/>
  <c r="H445" i="61" l="1"/>
  <c r="G445" i="61"/>
  <c r="F445" i="61"/>
  <c r="I657" i="2"/>
  <c r="H418" i="61" l="1"/>
  <c r="G418" i="61"/>
  <c r="F418" i="61"/>
  <c r="H412" i="61"/>
  <c r="G412" i="61"/>
  <c r="F412" i="61"/>
  <c r="H410" i="61"/>
  <c r="G410" i="61"/>
  <c r="G409" i="61" s="1"/>
  <c r="F410" i="61"/>
  <c r="F409" i="61" l="1"/>
  <c r="H409" i="61"/>
  <c r="H476" i="61"/>
  <c r="H475" i="61" s="1"/>
  <c r="G476" i="61"/>
  <c r="G475" i="61" s="1"/>
  <c r="F476" i="61"/>
  <c r="F475" i="61" s="1"/>
  <c r="J569" i="2"/>
  <c r="J568" i="2" s="1"/>
  <c r="I569" i="2"/>
  <c r="I568" i="2" s="1"/>
  <c r="H569" i="2"/>
  <c r="H568" i="2" s="1"/>
  <c r="F494" i="3"/>
  <c r="E494" i="3"/>
  <c r="D494" i="3"/>
  <c r="F492" i="3"/>
  <c r="E492" i="3"/>
  <c r="D492" i="3"/>
  <c r="F488" i="3"/>
  <c r="E488" i="3"/>
  <c r="F486" i="3"/>
  <c r="E486" i="3"/>
  <c r="F481" i="3"/>
  <c r="F480" i="3" s="1"/>
  <c r="F479" i="3" s="1"/>
  <c r="E481" i="3"/>
  <c r="E480" i="3" s="1"/>
  <c r="E479" i="3" s="1"/>
  <c r="D481" i="3"/>
  <c r="D480" i="3" s="1"/>
  <c r="D479" i="3" s="1"/>
  <c r="F477" i="3"/>
  <c r="E477" i="3"/>
  <c r="F475" i="3"/>
  <c r="E475" i="3"/>
  <c r="D485" i="3" l="1"/>
  <c r="D484" i="3" s="1"/>
  <c r="D491" i="3"/>
  <c r="D490" i="3" s="1"/>
  <c r="E491" i="3"/>
  <c r="E490" i="3" s="1"/>
  <c r="E485" i="3"/>
  <c r="E484" i="3" s="1"/>
  <c r="E474" i="3"/>
  <c r="F485" i="3"/>
  <c r="F484" i="3" s="1"/>
  <c r="F474" i="3"/>
  <c r="F491" i="3"/>
  <c r="F490" i="3" s="1"/>
  <c r="D474" i="3"/>
  <c r="F411" i="3"/>
  <c r="F410" i="3" s="1"/>
  <c r="E411" i="3"/>
  <c r="E410" i="3" s="1"/>
  <c r="D411" i="3"/>
  <c r="D410" i="3" s="1"/>
  <c r="F408" i="3"/>
  <c r="F407" i="3" s="1"/>
  <c r="E408" i="3"/>
  <c r="E407" i="3" s="1"/>
  <c r="D408" i="3"/>
  <c r="D407" i="3" s="1"/>
  <c r="F402" i="3"/>
  <c r="F401" i="3" s="1"/>
  <c r="E402" i="3"/>
  <c r="E401" i="3" s="1"/>
  <c r="D402" i="3"/>
  <c r="D401" i="3" s="1"/>
  <c r="F396" i="3"/>
  <c r="E396" i="3"/>
  <c r="D396" i="3"/>
  <c r="F392" i="3"/>
  <c r="F389" i="3" s="1"/>
  <c r="E392" i="3"/>
  <c r="E389" i="3" s="1"/>
  <c r="D392" i="3"/>
  <c r="D389" i="3" s="1"/>
  <c r="F387" i="3"/>
  <c r="F386" i="3" s="1"/>
  <c r="E387" i="3"/>
  <c r="E386" i="3" s="1"/>
  <c r="D386" i="3"/>
  <c r="H344" i="2"/>
  <c r="H343" i="2" s="1"/>
  <c r="I344" i="2"/>
  <c r="I343" i="2" s="1"/>
  <c r="J344" i="2"/>
  <c r="J343" i="2" s="1"/>
  <c r="H347" i="2"/>
  <c r="H346" i="2" s="1"/>
  <c r="I347" i="2"/>
  <c r="I346" i="2" s="1"/>
  <c r="J347" i="2"/>
  <c r="J346" i="2" s="1"/>
  <c r="D406" i="3" l="1"/>
  <c r="F395" i="3"/>
  <c r="F394" i="3" s="1"/>
  <c r="E406" i="3"/>
  <c r="F385" i="3"/>
  <c r="D395" i="3"/>
  <c r="D394" i="3" s="1"/>
  <c r="D385" i="3"/>
  <c r="E395" i="3"/>
  <c r="E394" i="3" s="1"/>
  <c r="E385" i="3"/>
  <c r="F406" i="3"/>
  <c r="F375" i="3"/>
  <c r="F374" i="3" s="1"/>
  <c r="E375" i="3"/>
  <c r="E374" i="3" s="1"/>
  <c r="D375" i="3"/>
  <c r="D374" i="3" s="1"/>
  <c r="F372" i="3"/>
  <c r="F371" i="3" s="1"/>
  <c r="E372" i="3"/>
  <c r="E371" i="3" s="1"/>
  <c r="D372" i="3"/>
  <c r="D371" i="3" s="1"/>
  <c r="F353" i="3"/>
  <c r="F352" i="3" s="1"/>
  <c r="E353" i="3"/>
  <c r="E352" i="3" s="1"/>
  <c r="D353" i="3"/>
  <c r="D352" i="3" s="1"/>
  <c r="D348" i="3"/>
  <c r="F348" i="3"/>
  <c r="E348" i="3"/>
  <c r="F356" i="3" l="1"/>
  <c r="D347" i="3"/>
  <c r="F370" i="3"/>
  <c r="F347" i="3"/>
  <c r="D370" i="3"/>
  <c r="D356" i="3"/>
  <c r="E356" i="3"/>
  <c r="E347" i="3"/>
  <c r="E370" i="3"/>
  <c r="F355" i="3" l="1"/>
  <c r="E355" i="3"/>
  <c r="D355" i="3"/>
  <c r="E646" i="3"/>
  <c r="F646" i="3"/>
  <c r="D646" i="3"/>
  <c r="H187" i="61" l="1"/>
  <c r="G187" i="61"/>
  <c r="F187" i="61"/>
  <c r="H185" i="61"/>
  <c r="G185" i="61"/>
  <c r="F185" i="61"/>
  <c r="H181" i="61"/>
  <c r="G181" i="61"/>
  <c r="F181" i="61"/>
  <c r="H179" i="61"/>
  <c r="G179" i="61"/>
  <c r="F179" i="61"/>
  <c r="H208" i="61"/>
  <c r="G208" i="61"/>
  <c r="F208" i="61"/>
  <c r="H206" i="61"/>
  <c r="G206" i="61"/>
  <c r="F206" i="61"/>
  <c r="H204" i="61"/>
  <c r="G204" i="61"/>
  <c r="F204" i="61"/>
  <c r="H202" i="61"/>
  <c r="G202" i="61"/>
  <c r="F202" i="61"/>
  <c r="H200" i="61"/>
  <c r="G200" i="61"/>
  <c r="F200" i="61"/>
  <c r="H196" i="61"/>
  <c r="G196" i="61"/>
  <c r="F196" i="61"/>
  <c r="H194" i="61"/>
  <c r="G194" i="61"/>
  <c r="F194" i="61"/>
  <c r="H192" i="61"/>
  <c r="G192" i="61"/>
  <c r="F192" i="61"/>
  <c r="G191" i="61" l="1"/>
  <c r="H191" i="61"/>
  <c r="F191" i="61"/>
  <c r="F178" i="61"/>
  <c r="H178" i="61"/>
  <c r="G178" i="61"/>
  <c r="J191" i="2"/>
  <c r="I191" i="2"/>
  <c r="H191" i="2"/>
  <c r="H224" i="61"/>
  <c r="G224" i="61"/>
  <c r="F224" i="61"/>
  <c r="H222" i="61"/>
  <c r="G222" i="61"/>
  <c r="F222" i="61"/>
  <c r="H218" i="61"/>
  <c r="G218" i="61"/>
  <c r="F218" i="61"/>
  <c r="H214" i="61"/>
  <c r="G214" i="61"/>
  <c r="F214" i="61"/>
  <c r="J220" i="2"/>
  <c r="I220" i="2"/>
  <c r="H220" i="2"/>
  <c r="J216" i="2"/>
  <c r="I216" i="2"/>
  <c r="H216" i="2"/>
  <c r="G160" i="61"/>
  <c r="F160" i="61"/>
  <c r="G158" i="61"/>
  <c r="F158" i="61"/>
  <c r="G213" i="61" l="1"/>
  <c r="J215" i="2"/>
  <c r="I215" i="2"/>
  <c r="H215" i="2"/>
  <c r="H213" i="61"/>
  <c r="F213" i="61"/>
  <c r="J236" i="2"/>
  <c r="J235" i="2" s="1"/>
  <c r="I236" i="2"/>
  <c r="I235" i="2" s="1"/>
  <c r="F282" i="3"/>
  <c r="F281" i="3" s="1"/>
  <c r="E282" i="3"/>
  <c r="E281" i="3" s="1"/>
  <c r="G255" i="61" l="1"/>
  <c r="G253" i="61"/>
  <c r="F384" i="61"/>
  <c r="H384" i="61"/>
  <c r="H379" i="61" s="1"/>
  <c r="G384" i="61"/>
  <c r="G379" i="61" s="1"/>
  <c r="J409" i="2"/>
  <c r="I409" i="2"/>
  <c r="H409" i="2"/>
  <c r="G252" i="61" l="1"/>
  <c r="H255" i="61"/>
  <c r="F255" i="61"/>
  <c r="H253" i="61"/>
  <c r="H252" i="61" s="1"/>
  <c r="F253" i="61"/>
  <c r="H299" i="61"/>
  <c r="G299" i="61"/>
  <c r="F299" i="61"/>
  <c r="H297" i="61"/>
  <c r="G297" i="61"/>
  <c r="F297" i="61"/>
  <c r="H295" i="61"/>
  <c r="G295" i="61"/>
  <c r="F295" i="61"/>
  <c r="H293" i="61"/>
  <c r="G293" i="61"/>
  <c r="F293" i="61"/>
  <c r="J314" i="2"/>
  <c r="I314" i="2"/>
  <c r="H314" i="2"/>
  <c r="J312" i="2"/>
  <c r="I312" i="2"/>
  <c r="H312" i="2"/>
  <c r="J310" i="2"/>
  <c r="I310" i="2"/>
  <c r="H310" i="2"/>
  <c r="J308" i="2"/>
  <c r="I308" i="2"/>
  <c r="H308" i="2"/>
  <c r="H404" i="61"/>
  <c r="G404" i="61"/>
  <c r="F404" i="61"/>
  <c r="H402" i="61"/>
  <c r="G402" i="61"/>
  <c r="F402" i="61"/>
  <c r="J438" i="2"/>
  <c r="I438" i="2"/>
  <c r="H438" i="2"/>
  <c r="J436" i="2"/>
  <c r="I436" i="2"/>
  <c r="H436" i="2"/>
  <c r="H690" i="61"/>
  <c r="G690" i="61"/>
  <c r="F690" i="61"/>
  <c r="H688" i="61"/>
  <c r="G688" i="61"/>
  <c r="F688" i="61"/>
  <c r="H686" i="61"/>
  <c r="G686" i="61"/>
  <c r="F686" i="61"/>
  <c r="H684" i="61"/>
  <c r="G684" i="61"/>
  <c r="F684" i="61"/>
  <c r="H682" i="61"/>
  <c r="G682" i="61"/>
  <c r="F682" i="61"/>
  <c r="H680" i="61"/>
  <c r="G680" i="61"/>
  <c r="F680" i="61"/>
  <c r="J487" i="2"/>
  <c r="I487" i="2"/>
  <c r="H487" i="2"/>
  <c r="J485" i="2"/>
  <c r="I485" i="2"/>
  <c r="H485" i="2"/>
  <c r="J482" i="2"/>
  <c r="I482" i="2"/>
  <c r="H482" i="2"/>
  <c r="J480" i="2"/>
  <c r="I480" i="2"/>
  <c r="H480" i="2"/>
  <c r="J478" i="2"/>
  <c r="I478" i="2"/>
  <c r="H478" i="2"/>
  <c r="J476" i="2"/>
  <c r="I476" i="2"/>
  <c r="H476" i="2"/>
  <c r="F252" i="61" l="1"/>
  <c r="I307" i="2"/>
  <c r="I306" i="2" s="1"/>
  <c r="J307" i="2"/>
  <c r="J306" i="2" s="1"/>
  <c r="H307" i="2"/>
  <c r="H306" i="2" s="1"/>
  <c r="G292" i="61"/>
  <c r="H292" i="61"/>
  <c r="F292" i="61"/>
  <c r="H484" i="2"/>
  <c r="I484" i="2"/>
  <c r="J484" i="2"/>
  <c r="E628" i="3"/>
  <c r="D628" i="3"/>
  <c r="F628" i="3"/>
  <c r="I798" i="2"/>
  <c r="I797" i="2" s="1"/>
  <c r="I796" i="2" s="1"/>
  <c r="I795" i="2" s="1"/>
  <c r="H798" i="2"/>
  <c r="H797" i="2" s="1"/>
  <c r="H796" i="2" s="1"/>
  <c r="H795" i="2" s="1"/>
  <c r="J798" i="2"/>
  <c r="J797" i="2" s="1"/>
  <c r="J796" i="2" s="1"/>
  <c r="J795" i="2" s="1"/>
  <c r="G695" i="61"/>
  <c r="G694" i="61" s="1"/>
  <c r="G693" i="61" s="1"/>
  <c r="G692" i="61" s="1"/>
  <c r="F695" i="61"/>
  <c r="F694" i="61" s="1"/>
  <c r="F693" i="61" s="1"/>
  <c r="F692" i="61" s="1"/>
  <c r="H695" i="61"/>
  <c r="H694" i="61" s="1"/>
  <c r="H693" i="61" s="1"/>
  <c r="H692" i="61" s="1"/>
  <c r="G64" i="1"/>
  <c r="F64" i="1"/>
  <c r="E64" i="1"/>
  <c r="F340" i="3" l="1"/>
  <c r="E340" i="3"/>
  <c r="D340" i="3"/>
  <c r="F338" i="3"/>
  <c r="E338" i="3"/>
  <c r="D338" i="3"/>
  <c r="F336" i="3"/>
  <c r="E336" i="3"/>
  <c r="D336" i="3"/>
  <c r="F334" i="3"/>
  <c r="E334" i="3"/>
  <c r="D334" i="3"/>
  <c r="E308" i="3"/>
  <c r="F308" i="3"/>
  <c r="D308" i="3"/>
  <c r="D333" i="3" l="1"/>
  <c r="E333" i="3"/>
  <c r="F333" i="3"/>
  <c r="F299" i="3"/>
  <c r="E299" i="3"/>
  <c r="D299" i="3"/>
  <c r="G615" i="61" l="1"/>
  <c r="H615" i="61"/>
  <c r="F615" i="61"/>
  <c r="J687" i="2" l="1"/>
  <c r="J686" i="2" s="1"/>
  <c r="J683" i="2" s="1"/>
  <c r="J671" i="2" s="1"/>
  <c r="I687" i="2"/>
  <c r="I686" i="2" s="1"/>
  <c r="I683" i="2" s="1"/>
  <c r="I671" i="2" s="1"/>
  <c r="H687" i="2"/>
  <c r="H686" i="2" s="1"/>
  <c r="H613" i="61"/>
  <c r="H612" i="61" s="1"/>
  <c r="G613" i="61"/>
  <c r="G612" i="61" s="1"/>
  <c r="F613" i="61"/>
  <c r="F612" i="61" s="1"/>
  <c r="F621" i="3"/>
  <c r="E621" i="3"/>
  <c r="D621" i="3"/>
  <c r="J599" i="2"/>
  <c r="J598" i="2" s="1"/>
  <c r="I599" i="2"/>
  <c r="I598" i="2" s="1"/>
  <c r="H599" i="2"/>
  <c r="H598" i="2" s="1"/>
  <c r="H517" i="61"/>
  <c r="H516" i="61" s="1"/>
  <c r="G517" i="61"/>
  <c r="G516" i="61" s="1"/>
  <c r="F517" i="61"/>
  <c r="F516" i="61" s="1"/>
  <c r="F630" i="3"/>
  <c r="E630" i="3"/>
  <c r="D630" i="3"/>
  <c r="J349" i="2"/>
  <c r="I349" i="2"/>
  <c r="H349" i="2"/>
  <c r="H329" i="61"/>
  <c r="H328" i="61" s="1"/>
  <c r="G329" i="61"/>
  <c r="G328" i="61" s="1"/>
  <c r="F329" i="61"/>
  <c r="F328" i="61" s="1"/>
  <c r="F32" i="1" l="1"/>
  <c r="G32" i="1"/>
  <c r="I98" i="2"/>
  <c r="I97" i="2" s="1"/>
  <c r="I120" i="2"/>
  <c r="I117" i="2" s="1"/>
  <c r="I148" i="2"/>
  <c r="I147" i="2" s="1"/>
  <c r="I173" i="2"/>
  <c r="I172" i="2" s="1"/>
  <c r="I171" i="2" s="1"/>
  <c r="I170" i="2" s="1"/>
  <c r="I161" i="2" s="1"/>
  <c r="J173" i="2"/>
  <c r="J172" i="2" s="1"/>
  <c r="J171" i="2" s="1"/>
  <c r="J170" i="2" s="1"/>
  <c r="J161" i="2" s="1"/>
  <c r="I445" i="2"/>
  <c r="I444" i="2" s="1"/>
  <c r="J445" i="2"/>
  <c r="J444" i="2" s="1"/>
  <c r="I451" i="2"/>
  <c r="I449" i="2" s="1"/>
  <c r="I448" i="2" s="1"/>
  <c r="I447" i="2" s="1"/>
  <c r="J451" i="2"/>
  <c r="J449" i="2" s="1"/>
  <c r="J448" i="2" s="1"/>
  <c r="J447" i="2" s="1"/>
  <c r="I233" i="2"/>
  <c r="I232" i="2" s="1"/>
  <c r="J233" i="2"/>
  <c r="J232" i="2" s="1"/>
  <c r="J148" i="2"/>
  <c r="J147" i="2" s="1"/>
  <c r="J120" i="2"/>
  <c r="J117" i="2" s="1"/>
  <c r="J98" i="2"/>
  <c r="J97" i="2" s="1"/>
  <c r="I51" i="2"/>
  <c r="J51" i="2"/>
  <c r="I45" i="2"/>
  <c r="I44" i="2" s="1"/>
  <c r="J46" i="2"/>
  <c r="H147" i="61"/>
  <c r="G147" i="61"/>
  <c r="F147" i="61"/>
  <c r="H148" i="2"/>
  <c r="J701" i="2"/>
  <c r="I701" i="2"/>
  <c r="H701" i="2"/>
  <c r="H620" i="61"/>
  <c r="H619" i="61" s="1"/>
  <c r="G620" i="61"/>
  <c r="G619" i="61" s="1"/>
  <c r="F620" i="61"/>
  <c r="F619" i="61" s="1"/>
  <c r="J761" i="2"/>
  <c r="J760" i="2" s="1"/>
  <c r="I761" i="2"/>
  <c r="I760" i="2" s="1"/>
  <c r="H761" i="2"/>
  <c r="H760" i="2" s="1"/>
  <c r="J750" i="2"/>
  <c r="J749" i="2" s="1"/>
  <c r="I750" i="2"/>
  <c r="I749" i="2" s="1"/>
  <c r="H750" i="2"/>
  <c r="H749" i="2" s="1"/>
  <c r="H508" i="61"/>
  <c r="G508" i="61"/>
  <c r="F508" i="61"/>
  <c r="H506" i="61"/>
  <c r="G506" i="61"/>
  <c r="F506" i="61"/>
  <c r="H504" i="61"/>
  <c r="G504" i="61"/>
  <c r="F504" i="61"/>
  <c r="G503" i="61" l="1"/>
  <c r="F503" i="61"/>
  <c r="H503" i="61"/>
  <c r="J420" i="2"/>
  <c r="J419" i="2" s="1"/>
  <c r="I420" i="2"/>
  <c r="I419" i="2" s="1"/>
  <c r="H692" i="2"/>
  <c r="H691" i="2" s="1"/>
  <c r="H690" i="2" s="1"/>
  <c r="H177" i="2"/>
  <c r="I190" i="2"/>
  <c r="J177" i="2"/>
  <c r="J176" i="2" s="1"/>
  <c r="J175" i="2" s="1"/>
  <c r="I177" i="2"/>
  <c r="I176" i="2" s="1"/>
  <c r="I175" i="2" s="1"/>
  <c r="I692" i="2"/>
  <c r="I691" i="2" s="1"/>
  <c r="I690" i="2" s="1"/>
  <c r="J190" i="2"/>
  <c r="I119" i="2"/>
  <c r="I118" i="2" s="1"/>
  <c r="J443" i="2"/>
  <c r="J442" i="2" s="1"/>
  <c r="J441" i="2" s="1"/>
  <c r="I443" i="2"/>
  <c r="I442" i="2" s="1"/>
  <c r="I441" i="2" s="1"/>
  <c r="J450" i="2"/>
  <c r="I450" i="2"/>
  <c r="J119" i="2"/>
  <c r="J118" i="2" s="1"/>
  <c r="I46" i="2"/>
  <c r="J45" i="2"/>
  <c r="J44" i="2" s="1"/>
  <c r="H723" i="2"/>
  <c r="I723" i="2"/>
  <c r="J723" i="2"/>
  <c r="J692" i="2"/>
  <c r="J691" i="2" s="1"/>
  <c r="J690" i="2" s="1"/>
  <c r="J772" i="2" l="1"/>
  <c r="J771" i="2" s="1"/>
  <c r="J770" i="2" s="1"/>
  <c r="I772" i="2"/>
  <c r="I771" i="2" s="1"/>
  <c r="I770" i="2" s="1"/>
  <c r="I670" i="2"/>
  <c r="I669" i="2" s="1"/>
  <c r="J670" i="2"/>
  <c r="J669" i="2" s="1"/>
  <c r="J722" i="2"/>
  <c r="J721" i="2" s="1"/>
  <c r="I722" i="2"/>
  <c r="I721" i="2" s="1"/>
  <c r="J131" i="2"/>
  <c r="J130" i="2" s="1"/>
  <c r="I131" i="2"/>
  <c r="I130" i="2" s="1"/>
  <c r="H131" i="2"/>
  <c r="H130" i="2" s="1"/>
  <c r="H154" i="61"/>
  <c r="G154" i="61"/>
  <c r="F154" i="61"/>
  <c r="J666" i="2"/>
  <c r="J665" i="2" s="1"/>
  <c r="I666" i="2"/>
  <c r="I665" i="2" s="1"/>
  <c r="I664" i="2" s="1"/>
  <c r="I663" i="2" s="1"/>
  <c r="I662" i="2" s="1"/>
  <c r="H666" i="2"/>
  <c r="H665" i="2" s="1"/>
  <c r="H141" i="61" l="1"/>
  <c r="H142" i="2"/>
  <c r="H141" i="2" s="1"/>
  <c r="F141" i="61"/>
  <c r="G141" i="61"/>
  <c r="J711" i="2"/>
  <c r="J710" i="2" s="1"/>
  <c r="H136" i="2"/>
  <c r="H135" i="2" s="1"/>
  <c r="I142" i="2"/>
  <c r="I141" i="2" s="1"/>
  <c r="J142" i="2"/>
  <c r="J141" i="2" s="1"/>
  <c r="D599" i="3"/>
  <c r="I136" i="2"/>
  <c r="I135" i="2" s="1"/>
  <c r="I125" i="2"/>
  <c r="I124" i="2"/>
  <c r="J124" i="2"/>
  <c r="J125" i="2"/>
  <c r="H711" i="2"/>
  <c r="H710" i="2" s="1"/>
  <c r="H709" i="2" s="1"/>
  <c r="J224" i="2"/>
  <c r="J136" i="2"/>
  <c r="J135" i="2" s="1"/>
  <c r="E599" i="3"/>
  <c r="H224" i="2"/>
  <c r="I711" i="2"/>
  <c r="I710" i="2" s="1"/>
  <c r="I224" i="2"/>
  <c r="F599" i="3"/>
  <c r="H124" i="2"/>
  <c r="H214" i="2" l="1"/>
  <c r="H213" i="2" s="1"/>
  <c r="I214" i="2"/>
  <c r="I213" i="2" s="1"/>
  <c r="I189" i="2" s="1"/>
  <c r="J123" i="2"/>
  <c r="J122" i="2" s="1"/>
  <c r="J214" i="2"/>
  <c r="J213" i="2" s="1"/>
  <c r="J189" i="2" s="1"/>
  <c r="H123" i="2"/>
  <c r="I123" i="2"/>
  <c r="I122" i="2" s="1"/>
  <c r="H420" i="2" l="1"/>
  <c r="H419" i="2" s="1"/>
  <c r="G388" i="61" l="1"/>
  <c r="H388" i="61"/>
  <c r="F379" i="61"/>
  <c r="J408" i="2"/>
  <c r="J407" i="2" s="1"/>
  <c r="I408" i="2"/>
  <c r="I407" i="2" s="1"/>
  <c r="H408" i="2"/>
  <c r="H407" i="2" s="1"/>
  <c r="F41" i="1"/>
  <c r="G41" i="1"/>
  <c r="E41" i="1"/>
  <c r="H358" i="61" l="1"/>
  <c r="F358" i="61"/>
  <c r="G358" i="61"/>
  <c r="H451" i="2"/>
  <c r="H662" i="61"/>
  <c r="H655" i="61" s="1"/>
  <c r="G662" i="61"/>
  <c r="G655" i="61" s="1"/>
  <c r="F662" i="61"/>
  <c r="F655" i="61" s="1"/>
  <c r="J469" i="2"/>
  <c r="J468" i="2" s="1"/>
  <c r="I469" i="2"/>
  <c r="I468" i="2" s="1"/>
  <c r="H469" i="2"/>
  <c r="H468" i="2" s="1"/>
  <c r="H284" i="61"/>
  <c r="G284" i="61"/>
  <c r="F284" i="61"/>
  <c r="H282" i="61"/>
  <c r="G282" i="61"/>
  <c r="F282" i="61"/>
  <c r="H279" i="61"/>
  <c r="G279" i="61"/>
  <c r="F279" i="61"/>
  <c r="H277" i="61"/>
  <c r="G277" i="61"/>
  <c r="F277" i="61"/>
  <c r="H273" i="61"/>
  <c r="G273" i="61"/>
  <c r="F273" i="61"/>
  <c r="H271" i="61"/>
  <c r="G271" i="61"/>
  <c r="F271" i="61"/>
  <c r="H269" i="61"/>
  <c r="G269" i="61"/>
  <c r="F269" i="61"/>
  <c r="J298" i="2"/>
  <c r="J297" i="2" s="1"/>
  <c r="I298" i="2"/>
  <c r="I297" i="2" s="1"/>
  <c r="H298" i="2"/>
  <c r="H297" i="2" s="1"/>
  <c r="J295" i="2"/>
  <c r="J294" i="2" s="1"/>
  <c r="I295" i="2"/>
  <c r="I294" i="2" s="1"/>
  <c r="H295" i="2"/>
  <c r="H294" i="2" s="1"/>
  <c r="G268" i="61" l="1"/>
  <c r="F268" i="61"/>
  <c r="H268" i="61"/>
  <c r="H338" i="61"/>
  <c r="I279" i="2"/>
  <c r="I278" i="2" s="1"/>
  <c r="J293" i="2"/>
  <c r="G338" i="61"/>
  <c r="F338" i="61"/>
  <c r="H293" i="2"/>
  <c r="H279" i="2"/>
  <c r="H278" i="2" s="1"/>
  <c r="J279" i="2"/>
  <c r="J278" i="2" s="1"/>
  <c r="I293" i="2"/>
  <c r="H231" i="61"/>
  <c r="G231" i="61"/>
  <c r="F231" i="61"/>
  <c r="H229" i="61"/>
  <c r="G229" i="61"/>
  <c r="F229" i="61"/>
  <c r="J231" i="2"/>
  <c r="J230" i="2" s="1"/>
  <c r="I231" i="2"/>
  <c r="I230" i="2" s="1"/>
  <c r="H233" i="2"/>
  <c r="H232" i="2" s="1"/>
  <c r="H72" i="61"/>
  <c r="H71" i="61" s="1"/>
  <c r="G72" i="61"/>
  <c r="G71" i="61" s="1"/>
  <c r="F72" i="61"/>
  <c r="F71" i="61" s="1"/>
  <c r="H493" i="61"/>
  <c r="G493" i="61"/>
  <c r="F493" i="61"/>
  <c r="J588" i="2"/>
  <c r="I588" i="2"/>
  <c r="H588" i="2"/>
  <c r="H579" i="61"/>
  <c r="G579" i="61"/>
  <c r="F579" i="61"/>
  <c r="J641" i="2"/>
  <c r="I641" i="2"/>
  <c r="H641" i="2"/>
  <c r="H558" i="61"/>
  <c r="J610" i="2"/>
  <c r="H568" i="61"/>
  <c r="G568" i="61"/>
  <c r="F568" i="61"/>
  <c r="J629" i="2"/>
  <c r="I629" i="2"/>
  <c r="H629" i="2"/>
  <c r="H562" i="61"/>
  <c r="G562" i="61"/>
  <c r="F562" i="61"/>
  <c r="H566" i="61"/>
  <c r="G566" i="61"/>
  <c r="F566" i="61"/>
  <c r="J626" i="2"/>
  <c r="I626" i="2"/>
  <c r="H626" i="2"/>
  <c r="H522" i="61"/>
  <c r="G522" i="61"/>
  <c r="F522" i="61"/>
  <c r="J605" i="2"/>
  <c r="I605" i="2"/>
  <c r="H605" i="2"/>
  <c r="H499" i="61"/>
  <c r="G499" i="61"/>
  <c r="F499" i="61"/>
  <c r="J595" i="2"/>
  <c r="J594" i="2" s="1"/>
  <c r="I595" i="2"/>
  <c r="I594" i="2" s="1"/>
  <c r="H595" i="2"/>
  <c r="H594" i="2" s="1"/>
  <c r="G558" i="61"/>
  <c r="F558" i="61"/>
  <c r="I610" i="2"/>
  <c r="H610" i="2"/>
  <c r="F129" i="3"/>
  <c r="E129" i="3"/>
  <c r="D129" i="3"/>
  <c r="F127" i="3"/>
  <c r="E127" i="3"/>
  <c r="D127" i="3"/>
  <c r="F125" i="3"/>
  <c r="E125" i="3"/>
  <c r="D125" i="3"/>
  <c r="J592" i="2"/>
  <c r="I592" i="2"/>
  <c r="H592" i="2"/>
  <c r="J590" i="2"/>
  <c r="I590" i="2"/>
  <c r="H590" i="2"/>
  <c r="H457" i="61"/>
  <c r="H428" i="61" s="1"/>
  <c r="G457" i="61"/>
  <c r="G428" i="61" s="1"/>
  <c r="F457" i="61"/>
  <c r="F428" i="61" s="1"/>
  <c r="F561" i="61" l="1"/>
  <c r="G561" i="61"/>
  <c r="H561" i="61"/>
  <c r="H427" i="61"/>
  <c r="G427" i="61"/>
  <c r="F228" i="61"/>
  <c r="H228" i="61"/>
  <c r="G228" i="61"/>
  <c r="J587" i="2"/>
  <c r="D124" i="3"/>
  <c r="E124" i="3"/>
  <c r="I587" i="2"/>
  <c r="H587" i="2"/>
  <c r="F124" i="3"/>
  <c r="G552" i="61"/>
  <c r="H552" i="61"/>
  <c r="F552" i="61"/>
  <c r="J66" i="2"/>
  <c r="J65" i="2" s="1"/>
  <c r="I66" i="2"/>
  <c r="I65" i="2" s="1"/>
  <c r="H231" i="2"/>
  <c r="H628" i="2"/>
  <c r="I628" i="2"/>
  <c r="J628" i="2"/>
  <c r="H326" i="61" l="1"/>
  <c r="G326" i="61"/>
  <c r="F326" i="61"/>
  <c r="H324" i="61"/>
  <c r="G324" i="61"/>
  <c r="F324" i="61"/>
  <c r="H319" i="61"/>
  <c r="G319" i="61"/>
  <c r="F319" i="61"/>
  <c r="H314" i="61"/>
  <c r="G314" i="61"/>
  <c r="F314" i="61"/>
  <c r="H311" i="61"/>
  <c r="G311" i="61"/>
  <c r="F311" i="61"/>
  <c r="H309" i="61"/>
  <c r="G309" i="61"/>
  <c r="F309" i="61"/>
  <c r="H307" i="61"/>
  <c r="G307" i="61"/>
  <c r="F307" i="61"/>
  <c r="J338" i="2"/>
  <c r="J337" i="2" s="1"/>
  <c r="I338" i="2"/>
  <c r="I337" i="2" s="1"/>
  <c r="H338" i="2"/>
  <c r="H337" i="2" s="1"/>
  <c r="J332" i="2"/>
  <c r="I332" i="2"/>
  <c r="H332" i="2"/>
  <c r="J328" i="2"/>
  <c r="I328" i="2"/>
  <c r="H328" i="2"/>
  <c r="H325" i="2" s="1"/>
  <c r="J326" i="2"/>
  <c r="I326" i="2"/>
  <c r="J323" i="2"/>
  <c r="J322" i="2" s="1"/>
  <c r="I323" i="2"/>
  <c r="I322" i="2" s="1"/>
  <c r="H322" i="2"/>
  <c r="F313" i="61" l="1"/>
  <c r="G313" i="61"/>
  <c r="H313" i="61"/>
  <c r="F323" i="61"/>
  <c r="J325" i="2"/>
  <c r="J321" i="2" s="1"/>
  <c r="I325" i="2"/>
  <c r="I321" i="2" s="1"/>
  <c r="G323" i="61"/>
  <c r="H323" i="61"/>
  <c r="H321" i="2"/>
  <c r="I342" i="2"/>
  <c r="H331" i="2"/>
  <c r="H330" i="2" s="1"/>
  <c r="H342" i="2"/>
  <c r="F306" i="61"/>
  <c r="G306" i="61"/>
  <c r="H306" i="61"/>
  <c r="J342" i="2"/>
  <c r="I331" i="2"/>
  <c r="I330" i="2" s="1"/>
  <c r="J331" i="2"/>
  <c r="J330" i="2" s="1"/>
  <c r="I475" i="2" l="1"/>
  <c r="J475" i="2"/>
  <c r="I320" i="2"/>
  <c r="J320" i="2"/>
  <c r="H320" i="2"/>
  <c r="H475" i="2"/>
  <c r="F679" i="61"/>
  <c r="G679" i="61"/>
  <c r="H679" i="61"/>
  <c r="I259" i="2" l="1"/>
  <c r="I258" i="2" s="1"/>
  <c r="J474" i="2"/>
  <c r="I474" i="2"/>
  <c r="H259" i="2"/>
  <c r="H474" i="2"/>
  <c r="J259" i="2"/>
  <c r="E382" i="3"/>
  <c r="F382" i="3"/>
  <c r="I472" i="2" l="1"/>
  <c r="I471" i="2" s="1"/>
  <c r="I473" i="2"/>
  <c r="J473" i="2"/>
  <c r="J472" i="2"/>
  <c r="J471" i="2" s="1"/>
  <c r="J355" i="2"/>
  <c r="J354" i="2" s="1"/>
  <c r="J353" i="2" s="1"/>
  <c r="J352" i="2" s="1"/>
  <c r="G333" i="61"/>
  <c r="G332" i="61" s="1"/>
  <c r="H355" i="2"/>
  <c r="H354" i="2" s="1"/>
  <c r="H353" i="2" s="1"/>
  <c r="H352" i="2" s="1"/>
  <c r="F333" i="61"/>
  <c r="I355" i="2"/>
  <c r="I354" i="2" s="1"/>
  <c r="I353" i="2" s="1"/>
  <c r="I352" i="2" s="1"/>
  <c r="H333" i="61"/>
  <c r="H332" i="61" s="1"/>
  <c r="E633" i="3"/>
  <c r="F633" i="3"/>
  <c r="D633" i="3"/>
  <c r="H111" i="61" l="1"/>
  <c r="G111" i="61"/>
  <c r="F111" i="61"/>
  <c r="J108" i="2"/>
  <c r="I108" i="2"/>
  <c r="H108" i="2"/>
  <c r="H34" i="61" l="1"/>
  <c r="G34" i="61"/>
  <c r="F34" i="61"/>
  <c r="H32" i="61"/>
  <c r="G32" i="61"/>
  <c r="F32" i="61"/>
  <c r="I27" i="2"/>
  <c r="I26" i="2" s="1"/>
  <c r="I25" i="2" s="1"/>
  <c r="I24" i="2" s="1"/>
  <c r="I23" i="2" s="1"/>
  <c r="J27" i="2"/>
  <c r="J26" i="2" s="1"/>
  <c r="J25" i="2" s="1"/>
  <c r="J24" i="2" s="1"/>
  <c r="J23" i="2" s="1"/>
  <c r="H123" i="61"/>
  <c r="G123" i="61"/>
  <c r="F123" i="61"/>
  <c r="H120" i="2"/>
  <c r="E575" i="3" l="1"/>
  <c r="F575" i="3"/>
  <c r="H445" i="2" l="1"/>
  <c r="H444" i="2" s="1"/>
  <c r="H114" i="61"/>
  <c r="G114" i="61"/>
  <c r="F114" i="61"/>
  <c r="J657" i="2" l="1"/>
  <c r="H651" i="61"/>
  <c r="H642" i="61"/>
  <c r="G642" i="61"/>
  <c r="F642" i="61"/>
  <c r="H638" i="61"/>
  <c r="G638" i="61"/>
  <c r="F638" i="61"/>
  <c r="H633" i="61"/>
  <c r="G633" i="61"/>
  <c r="F633" i="61"/>
  <c r="H450" i="2"/>
  <c r="E541" i="3"/>
  <c r="F541" i="3"/>
  <c r="D541" i="3"/>
  <c r="F537" i="3" l="1"/>
  <c r="E537" i="3"/>
  <c r="D537" i="3"/>
  <c r="H136" i="61"/>
  <c r="G132" i="61"/>
  <c r="H132" i="61"/>
  <c r="F132" i="61"/>
  <c r="H127" i="61"/>
  <c r="F146" i="61"/>
  <c r="G146" i="61"/>
  <c r="H146" i="61"/>
  <c r="H153" i="61"/>
  <c r="G153" i="61"/>
  <c r="F153" i="61"/>
  <c r="D536" i="3" l="1"/>
  <c r="D535" i="3" s="1"/>
  <c r="E536" i="3"/>
  <c r="E535" i="3" s="1"/>
  <c r="F536" i="3"/>
  <c r="F535" i="3" s="1"/>
  <c r="I709" i="2"/>
  <c r="G136" i="61"/>
  <c r="F542" i="61"/>
  <c r="F541" i="61" s="1"/>
  <c r="F127" i="61"/>
  <c r="H542" i="61"/>
  <c r="H541" i="61" s="1"/>
  <c r="G542" i="61"/>
  <c r="G541" i="61" s="1"/>
  <c r="H126" i="61"/>
  <c r="F136" i="61"/>
  <c r="G127" i="61"/>
  <c r="J709" i="2"/>
  <c r="H689" i="2"/>
  <c r="I689" i="2" l="1"/>
  <c r="I668" i="2" s="1"/>
  <c r="J689" i="2"/>
  <c r="J668" i="2" s="1"/>
  <c r="G126" i="61"/>
  <c r="F126" i="61"/>
  <c r="F305" i="61" l="1"/>
  <c r="G305" i="61"/>
  <c r="H305" i="61"/>
  <c r="F332" i="61" l="1"/>
  <c r="H266" i="61"/>
  <c r="G266" i="61"/>
  <c r="F266" i="61"/>
  <c r="J271" i="2"/>
  <c r="I271" i="2"/>
  <c r="H271" i="2"/>
  <c r="J270" i="2" l="1"/>
  <c r="I270" i="2"/>
  <c r="H270" i="2"/>
  <c r="I269" i="2" l="1"/>
  <c r="I268" i="2" s="1"/>
  <c r="J269" i="2"/>
  <c r="J268" i="2" s="1"/>
  <c r="E331" i="3"/>
  <c r="F331" i="3"/>
  <c r="D331" i="3"/>
  <c r="F401" i="61" l="1"/>
  <c r="F400" i="61" s="1"/>
  <c r="F399" i="61" s="1"/>
  <c r="H401" i="61"/>
  <c r="H400" i="61" s="1"/>
  <c r="H399" i="61" s="1"/>
  <c r="I435" i="2"/>
  <c r="I434" i="2" s="1"/>
  <c r="I433" i="2" s="1"/>
  <c r="I432" i="2" s="1"/>
  <c r="G401" i="61"/>
  <c r="G400" i="61" s="1"/>
  <c r="G399" i="61" s="1"/>
  <c r="J435" i="2"/>
  <c r="J434" i="2" s="1"/>
  <c r="J433" i="2" s="1"/>
  <c r="J432" i="2" s="1"/>
  <c r="H435" i="2"/>
  <c r="H434" i="2" s="1"/>
  <c r="H433" i="2" s="1"/>
  <c r="H432" i="2" s="1"/>
  <c r="E325" i="3"/>
  <c r="F325" i="3"/>
  <c r="D325" i="3"/>
  <c r="E320" i="3"/>
  <c r="F320" i="3"/>
  <c r="D320" i="3"/>
  <c r="E318" i="3"/>
  <c r="F318" i="3"/>
  <c r="D318" i="3"/>
  <c r="E316" i="3"/>
  <c r="F316" i="3"/>
  <c r="D316" i="3"/>
  <c r="E314" i="3"/>
  <c r="F314" i="3"/>
  <c r="D314" i="3"/>
  <c r="E306" i="3"/>
  <c r="F306" i="3"/>
  <c r="D306" i="3"/>
  <c r="E304" i="3"/>
  <c r="F304" i="3"/>
  <c r="D304" i="3"/>
  <c r="E302" i="3"/>
  <c r="F302" i="3"/>
  <c r="D302" i="3"/>
  <c r="F624" i="61"/>
  <c r="H787" i="2"/>
  <c r="H786" i="2" s="1"/>
  <c r="H785" i="2" s="1"/>
  <c r="H551" i="61"/>
  <c r="H550" i="61" s="1"/>
  <c r="G551" i="61"/>
  <c r="G550" i="61" s="1"/>
  <c r="J625" i="2"/>
  <c r="I625" i="2"/>
  <c r="H625" i="2"/>
  <c r="E301" i="3" l="1"/>
  <c r="D301" i="3"/>
  <c r="F301" i="3"/>
  <c r="F313" i="3"/>
  <c r="E313" i="3"/>
  <c r="H239" i="2"/>
  <c r="H238" i="2" s="1"/>
  <c r="H230" i="2"/>
  <c r="H525" i="61"/>
  <c r="H524" i="61" s="1"/>
  <c r="D313" i="3"/>
  <c r="F525" i="61"/>
  <c r="F524" i="61" s="1"/>
  <c r="F551" i="61"/>
  <c r="G525" i="61"/>
  <c r="G524" i="61" s="1"/>
  <c r="H66" i="2"/>
  <c r="I239" i="2"/>
  <c r="I238" i="2" s="1"/>
  <c r="J239" i="2"/>
  <c r="J238" i="2" s="1"/>
  <c r="J651" i="2" l="1"/>
  <c r="J649" i="2" s="1"/>
  <c r="I651" i="2"/>
  <c r="I649" i="2" s="1"/>
  <c r="H651" i="2"/>
  <c r="H649" i="2" s="1"/>
  <c r="J621" i="2"/>
  <c r="I621" i="2"/>
  <c r="I620" i="2" s="1"/>
  <c r="I619" i="2" s="1"/>
  <c r="H621" i="2"/>
  <c r="J604" i="2"/>
  <c r="I604" i="2"/>
  <c r="H604" i="2"/>
  <c r="F140" i="3"/>
  <c r="E140" i="3"/>
  <c r="D140" i="3"/>
  <c r="H497" i="61"/>
  <c r="G497" i="61"/>
  <c r="F497" i="61"/>
  <c r="H495" i="61"/>
  <c r="H480" i="61" s="1"/>
  <c r="G495" i="61"/>
  <c r="F495" i="61"/>
  <c r="J609" i="2"/>
  <c r="I609" i="2"/>
  <c r="H609" i="2"/>
  <c r="E295" i="3"/>
  <c r="F295" i="3"/>
  <c r="F294" i="3" s="1"/>
  <c r="D295" i="3"/>
  <c r="E297" i="3"/>
  <c r="F297" i="3"/>
  <c r="D297" i="3"/>
  <c r="G480" i="61" l="1"/>
  <c r="F480" i="61"/>
  <c r="F479" i="61" s="1"/>
  <c r="G479" i="61"/>
  <c r="D294" i="3"/>
  <c r="E294" i="3"/>
  <c r="H479" i="61"/>
  <c r="J620" i="2"/>
  <c r="J619" i="2" s="1"/>
  <c r="H620" i="2"/>
  <c r="H619" i="2" s="1"/>
  <c r="H493" i="2"/>
  <c r="I608" i="2"/>
  <c r="I573" i="2"/>
  <c r="J573" i="2"/>
  <c r="I603" i="2"/>
  <c r="H573" i="2"/>
  <c r="J603" i="2"/>
  <c r="H603" i="2"/>
  <c r="H408" i="61"/>
  <c r="H407" i="61" s="1"/>
  <c r="G408" i="61"/>
  <c r="G407" i="61" s="1"/>
  <c r="I493" i="2"/>
  <c r="I492" i="2" s="1"/>
  <c r="I491" i="2" s="1"/>
  <c r="I514" i="2"/>
  <c r="J493" i="2"/>
  <c r="J492" i="2" s="1"/>
  <c r="J491" i="2" s="1"/>
  <c r="H514" i="2" l="1"/>
  <c r="H513" i="2" s="1"/>
  <c r="J514" i="2"/>
  <c r="J513" i="2" s="1"/>
  <c r="I513" i="2"/>
  <c r="H608" i="2"/>
  <c r="J608" i="2"/>
  <c r="J572" i="2"/>
  <c r="J571" i="2" s="1"/>
  <c r="I572" i="2"/>
  <c r="I571" i="2" s="1"/>
  <c r="H572" i="2"/>
  <c r="H571" i="2" s="1"/>
  <c r="E231" i="3" l="1"/>
  <c r="F231" i="3"/>
  <c r="D231" i="3"/>
  <c r="E160" i="3" l="1"/>
  <c r="E159" i="3" s="1"/>
  <c r="F160" i="3"/>
  <c r="F159" i="3" s="1"/>
  <c r="D159" i="3"/>
  <c r="E147" i="3"/>
  <c r="F147" i="3"/>
  <c r="D147" i="3"/>
  <c r="E144" i="3"/>
  <c r="F144" i="3"/>
  <c r="D144" i="3"/>
  <c r="E142" i="3"/>
  <c r="F142" i="3"/>
  <c r="D142" i="3"/>
  <c r="E137" i="3"/>
  <c r="F137" i="3"/>
  <c r="D137" i="3"/>
  <c r="E135" i="3"/>
  <c r="F135" i="3"/>
  <c r="D135" i="3"/>
  <c r="E133" i="3"/>
  <c r="F133" i="3"/>
  <c r="D133" i="3"/>
  <c r="D139" i="3" l="1"/>
  <c r="F139" i="3"/>
  <c r="E146" i="3"/>
  <c r="E139" i="3"/>
  <c r="F132" i="3"/>
  <c r="E132" i="3"/>
  <c r="D132" i="3"/>
  <c r="D146" i="3"/>
  <c r="F146" i="3"/>
  <c r="D131" i="3" l="1"/>
  <c r="E131" i="3"/>
  <c r="F131" i="3"/>
  <c r="E118" i="3"/>
  <c r="F118" i="3"/>
  <c r="D118" i="3"/>
  <c r="E116" i="3"/>
  <c r="F116" i="3"/>
  <c r="F111" i="3" s="1"/>
  <c r="D116" i="3"/>
  <c r="D111" i="3" s="1"/>
  <c r="E86" i="3"/>
  <c r="F86" i="3"/>
  <c r="D86" i="3"/>
  <c r="E84" i="3"/>
  <c r="F84" i="3"/>
  <c r="D84" i="3"/>
  <c r="E79" i="3"/>
  <c r="E78" i="3" s="1"/>
  <c r="F79" i="3"/>
  <c r="D79" i="3"/>
  <c r="E111" i="3" l="1"/>
  <c r="D78" i="3"/>
  <c r="F78" i="3"/>
  <c r="D110" i="3"/>
  <c r="F110" i="3"/>
  <c r="E110" i="3"/>
  <c r="E76" i="3"/>
  <c r="F76" i="3"/>
  <c r="D76" i="3"/>
  <c r="E74" i="3"/>
  <c r="F74" i="3"/>
  <c r="D74" i="3"/>
  <c r="E72" i="3"/>
  <c r="F72" i="3"/>
  <c r="D72" i="3"/>
  <c r="F71" i="3" l="1"/>
  <c r="E71" i="3"/>
  <c r="D71" i="3"/>
  <c r="E52" i="3"/>
  <c r="F52" i="3"/>
  <c r="D52" i="3"/>
  <c r="E54" i="3"/>
  <c r="F54" i="3"/>
  <c r="D54" i="3"/>
  <c r="E50" i="3"/>
  <c r="F50" i="3"/>
  <c r="F49" i="3" s="1"/>
  <c r="D50" i="3"/>
  <c r="D49" i="3" s="1"/>
  <c r="E49" i="3" l="1"/>
  <c r="F48" i="3"/>
  <c r="E48" i="3"/>
  <c r="D48" i="3"/>
  <c r="E45" i="3"/>
  <c r="E44" i="3" s="1"/>
  <c r="F45" i="3"/>
  <c r="F44" i="3" s="1"/>
  <c r="D44" i="3"/>
  <c r="F25" i="3" l="1"/>
  <c r="E25" i="3"/>
  <c r="F24" i="3" l="1"/>
  <c r="E24" i="3"/>
  <c r="H618" i="61"/>
  <c r="H617" i="61" s="1"/>
  <c r="G618" i="61"/>
  <c r="G617" i="61" s="1"/>
  <c r="F618" i="61"/>
  <c r="F617" i="61" s="1"/>
  <c r="H585" i="61" l="1"/>
  <c r="G585" i="61"/>
  <c r="F524" i="3" l="1"/>
  <c r="F523" i="3" s="1"/>
  <c r="E524" i="3"/>
  <c r="E523" i="3" s="1"/>
  <c r="D524" i="3"/>
  <c r="D523" i="3" s="1"/>
  <c r="H27" i="2" l="1"/>
  <c r="G426" i="61" l="1"/>
  <c r="H426" i="61"/>
  <c r="F408" i="61"/>
  <c r="F407" i="61" s="1"/>
  <c r="F427" i="61"/>
  <c r="F426" i="61" s="1"/>
  <c r="H173" i="2" l="1"/>
  <c r="H172" i="2" s="1"/>
  <c r="D521" i="3" l="1"/>
  <c r="D520" i="3" s="1"/>
  <c r="D519" i="3" s="1"/>
  <c r="F533" i="3"/>
  <c r="F531" i="3"/>
  <c r="F521" i="3"/>
  <c r="F520" i="3" s="1"/>
  <c r="F519" i="3" s="1"/>
  <c r="F510" i="3"/>
  <c r="F509" i="3" s="1"/>
  <c r="F507" i="3"/>
  <c r="F499" i="3"/>
  <c r="F498" i="3" s="1"/>
  <c r="D499" i="3"/>
  <c r="F497" i="3" l="1"/>
  <c r="F527" i="3"/>
  <c r="F526" i="3" s="1"/>
  <c r="F496" i="3" l="1"/>
  <c r="E423" i="3" l="1"/>
  <c r="F423" i="3"/>
  <c r="F445" i="3"/>
  <c r="E445" i="3"/>
  <c r="F422" i="3" l="1"/>
  <c r="E422" i="3"/>
  <c r="H155" i="2"/>
  <c r="H154" i="2" s="1"/>
  <c r="I155" i="2"/>
  <c r="I154" i="2" s="1"/>
  <c r="J155" i="2"/>
  <c r="J154" i="2" s="1"/>
  <c r="F157" i="61"/>
  <c r="F156" i="61" s="1"/>
  <c r="F460" i="3" l="1"/>
  <c r="F459" i="3" s="1"/>
  <c r="E460" i="3"/>
  <c r="E459" i="3" s="1"/>
  <c r="D460" i="3"/>
  <c r="D459" i="3" s="1"/>
  <c r="F279" i="3" l="1"/>
  <c r="F278" i="3" s="1"/>
  <c r="E279" i="3"/>
  <c r="E278" i="3" s="1"/>
  <c r="D279" i="3"/>
  <c r="D278" i="3" s="1"/>
  <c r="F249" i="3"/>
  <c r="F248" i="3" s="1"/>
  <c r="E249" i="3"/>
  <c r="E248" i="3" s="1"/>
  <c r="D249" i="3"/>
  <c r="D248" i="3" s="1"/>
  <c r="F251" i="61" l="1"/>
  <c r="G251" i="61" l="1"/>
  <c r="H251" i="61"/>
  <c r="H258" i="2"/>
  <c r="J258" i="2"/>
  <c r="E660" i="3" l="1"/>
  <c r="E652" i="3" s="1"/>
  <c r="D652" i="3"/>
  <c r="E645" i="3"/>
  <c r="D645" i="3"/>
  <c r="E637" i="3"/>
  <c r="D637" i="3"/>
  <c r="E623" i="3"/>
  <c r="E620" i="3" s="1"/>
  <c r="D623" i="3"/>
  <c r="D620" i="3" s="1"/>
  <c r="E618" i="3"/>
  <c r="D618" i="3"/>
  <c r="E616" i="3"/>
  <c r="D616" i="3"/>
  <c r="E613" i="3"/>
  <c r="D613" i="3"/>
  <c r="D605" i="3"/>
  <c r="E587" i="3"/>
  <c r="E586" i="3" s="1"/>
  <c r="D587" i="3"/>
  <c r="D586" i="3" s="1"/>
  <c r="E561" i="3"/>
  <c r="E560" i="3" s="1"/>
  <c r="D561" i="3"/>
  <c r="D560" i="3" s="1"/>
  <c r="E558" i="3"/>
  <c r="E557" i="3" s="1"/>
  <c r="D558" i="3"/>
  <c r="D557" i="3" s="1"/>
  <c r="E554" i="3"/>
  <c r="E553" i="3" s="1"/>
  <c r="D554" i="3"/>
  <c r="D553" i="3" s="1"/>
  <c r="E551" i="3"/>
  <c r="E550" i="3" s="1"/>
  <c r="E533" i="3"/>
  <c r="D533" i="3"/>
  <c r="E531" i="3"/>
  <c r="D531" i="3"/>
  <c r="E521" i="3"/>
  <c r="E520" i="3" s="1"/>
  <c r="E519" i="3" s="1"/>
  <c r="E510" i="3"/>
  <c r="E509" i="3" s="1"/>
  <c r="D510" i="3"/>
  <c r="D509" i="3" s="1"/>
  <c r="E507" i="3"/>
  <c r="D507" i="3"/>
  <c r="D498" i="3" s="1"/>
  <c r="E499" i="3"/>
  <c r="E473" i="3"/>
  <c r="D473" i="3"/>
  <c r="E458" i="3"/>
  <c r="E457" i="3" s="1"/>
  <c r="D458" i="3"/>
  <c r="D457" i="3" s="1"/>
  <c r="D423" i="3"/>
  <c r="E380" i="3"/>
  <c r="E329" i="3"/>
  <c r="E328" i="3" s="1"/>
  <c r="D329" i="3"/>
  <c r="D328" i="3" s="1"/>
  <c r="E323" i="3"/>
  <c r="E322" i="3" s="1"/>
  <c r="E312" i="3" s="1"/>
  <c r="D323" i="3"/>
  <c r="D322" i="3" s="1"/>
  <c r="D312" i="3" s="1"/>
  <c r="E292" i="3"/>
  <c r="E291" i="3" s="1"/>
  <c r="E290" i="3" s="1"/>
  <c r="D292" i="3"/>
  <c r="D277" i="3"/>
  <c r="E277" i="3"/>
  <c r="E247" i="3"/>
  <c r="E241" i="3"/>
  <c r="D241" i="3"/>
  <c r="E234" i="3"/>
  <c r="E233" i="3" s="1"/>
  <c r="D234" i="3"/>
  <c r="D233" i="3" s="1"/>
  <c r="E229" i="3"/>
  <c r="D229" i="3"/>
  <c r="E227" i="3"/>
  <c r="D227" i="3"/>
  <c r="E225" i="3"/>
  <c r="D225" i="3"/>
  <c r="E209" i="3"/>
  <c r="E208" i="3" s="1"/>
  <c r="D209" i="3"/>
  <c r="D208" i="3" s="1"/>
  <c r="E193" i="3"/>
  <c r="E192" i="3" s="1"/>
  <c r="D193" i="3"/>
  <c r="D192" i="3" s="1"/>
  <c r="D497" i="3" l="1"/>
  <c r="E498" i="3"/>
  <c r="E497" i="3" s="1"/>
  <c r="E165" i="3"/>
  <c r="D165" i="3"/>
  <c r="D527" i="3"/>
  <c r="D526" i="3" s="1"/>
  <c r="E527" i="3"/>
  <c r="E526" i="3" s="1"/>
  <c r="E585" i="3"/>
  <c r="E584" i="3" s="1"/>
  <c r="E379" i="3"/>
  <c r="E378" i="3" s="1"/>
  <c r="E377" i="3" s="1"/>
  <c r="D379" i="3"/>
  <c r="D378" i="3" s="1"/>
  <c r="D377" i="3" s="1"/>
  <c r="D632" i="3"/>
  <c r="E472" i="3"/>
  <c r="E632" i="3"/>
  <c r="D224" i="3"/>
  <c r="D223" i="3" s="1"/>
  <c r="E224" i="3"/>
  <c r="E223" i="3" s="1"/>
  <c r="D472" i="3"/>
  <c r="E610" i="3"/>
  <c r="D610" i="3"/>
  <c r="E556" i="3"/>
  <c r="D556" i="3"/>
  <c r="E384" i="3"/>
  <c r="E544" i="3"/>
  <c r="E327" i="3"/>
  <c r="E289" i="3" s="1"/>
  <c r="D384" i="3"/>
  <c r="D327" i="3"/>
  <c r="D544" i="3"/>
  <c r="D25" i="3"/>
  <c r="D24" i="3" s="1"/>
  <c r="D291" i="3"/>
  <c r="D290" i="3" s="1"/>
  <c r="E246" i="3"/>
  <c r="D247" i="3"/>
  <c r="D246" i="3" s="1"/>
  <c r="D445" i="3"/>
  <c r="D422" i="3" s="1"/>
  <c r="I793" i="2"/>
  <c r="I792" i="2" s="1"/>
  <c r="I791" i="2" s="1"/>
  <c r="H793" i="2"/>
  <c r="H792" i="2" s="1"/>
  <c r="H791" i="2" s="1"/>
  <c r="H784" i="2" s="1"/>
  <c r="H783" i="2" s="1"/>
  <c r="I787" i="2"/>
  <c r="I786" i="2" s="1"/>
  <c r="I785" i="2" s="1"/>
  <c r="H772" i="2"/>
  <c r="H771" i="2" s="1"/>
  <c r="H770" i="2" s="1"/>
  <c r="I759" i="2"/>
  <c r="H759" i="2"/>
  <c r="H473" i="2"/>
  <c r="I459" i="2"/>
  <c r="I458" i="2" s="1"/>
  <c r="I457" i="2" s="1"/>
  <c r="I440" i="2" s="1"/>
  <c r="H449" i="2"/>
  <c r="I305" i="2"/>
  <c r="H190" i="2"/>
  <c r="H189" i="2" s="1"/>
  <c r="H171" i="2"/>
  <c r="H170" i="2" s="1"/>
  <c r="H161" i="2" s="1"/>
  <c r="I153" i="2"/>
  <c r="H153" i="2"/>
  <c r="H152" i="2" s="1"/>
  <c r="H147" i="2"/>
  <c r="H119" i="2"/>
  <c r="H118" i="2" s="1"/>
  <c r="I102" i="2"/>
  <c r="H102" i="2"/>
  <c r="H98" i="2"/>
  <c r="H97" i="2" s="1"/>
  <c r="I62" i="2"/>
  <c r="I61" i="2" s="1"/>
  <c r="I60" i="2" s="1"/>
  <c r="I59" i="2" s="1"/>
  <c r="H61" i="2"/>
  <c r="H60" i="2" s="1"/>
  <c r="H59" i="2" s="1"/>
  <c r="I54" i="2"/>
  <c r="I50" i="2" s="1"/>
  <c r="I49" i="2" s="1"/>
  <c r="H54" i="2"/>
  <c r="H51" i="2"/>
  <c r="H46" i="2"/>
  <c r="I39" i="2"/>
  <c r="I36" i="2" l="1"/>
  <c r="I35" i="2" s="1"/>
  <c r="I34" i="2" s="1"/>
  <c r="I33" i="2" s="1"/>
  <c r="H36" i="2"/>
  <c r="H35" i="2" s="1"/>
  <c r="H34" i="2" s="1"/>
  <c r="H33" i="2" s="1"/>
  <c r="E164" i="3"/>
  <c r="H50" i="2"/>
  <c r="H49" i="2" s="1"/>
  <c r="I152" i="2"/>
  <c r="I116" i="2" s="1"/>
  <c r="I661" i="2"/>
  <c r="D585" i="3"/>
  <c r="D584" i="3" s="1"/>
  <c r="D289" i="3"/>
  <c r="D164" i="3"/>
  <c r="H101" i="2"/>
  <c r="I101" i="2"/>
  <c r="E496" i="3"/>
  <c r="E543" i="3"/>
  <c r="D543" i="3"/>
  <c r="D604" i="3"/>
  <c r="E604" i="3"/>
  <c r="D414" i="3"/>
  <c r="D413" i="3"/>
  <c r="E413" i="3"/>
  <c r="D496" i="3"/>
  <c r="D346" i="3"/>
  <c r="E346" i="3"/>
  <c r="I758" i="2"/>
  <c r="I757" i="2" s="1"/>
  <c r="H602" i="2"/>
  <c r="H601" i="2" s="1"/>
  <c r="H107" i="2"/>
  <c r="H117" i="2"/>
  <c r="I107" i="2"/>
  <c r="I602" i="2"/>
  <c r="I601" i="2" s="1"/>
  <c r="H758" i="2"/>
  <c r="H757" i="2" s="1"/>
  <c r="H305" i="2"/>
  <c r="H304" i="2" s="1"/>
  <c r="H448" i="2"/>
  <c r="H447" i="2" s="1"/>
  <c r="I784" i="2"/>
  <c r="I783" i="2" s="1"/>
  <c r="H492" i="2"/>
  <c r="H491" i="2" s="1"/>
  <c r="H443" i="2"/>
  <c r="H442" i="2" s="1"/>
  <c r="H441" i="2" s="1"/>
  <c r="H229" i="2"/>
  <c r="H670" i="2"/>
  <c r="H669" i="2" s="1"/>
  <c r="I229" i="2"/>
  <c r="I160" i="2" s="1"/>
  <c r="H472" i="2"/>
  <c r="H471" i="2" s="1"/>
  <c r="H45" i="2"/>
  <c r="H44" i="2" s="1"/>
  <c r="H176" i="2"/>
  <c r="H175" i="2" s="1"/>
  <c r="H722" i="2"/>
  <c r="H721" i="2" s="1"/>
  <c r="H664" i="2"/>
  <c r="H663" i="2" s="1"/>
  <c r="H65" i="2"/>
  <c r="H26" i="2"/>
  <c r="H25" i="2" s="1"/>
  <c r="H24" i="2" s="1"/>
  <c r="H23" i="2" s="1"/>
  <c r="H459" i="2"/>
  <c r="H458" i="2" s="1"/>
  <c r="H457" i="2" s="1"/>
  <c r="F666" i="61"/>
  <c r="F665" i="61" s="1"/>
  <c r="F664" i="61" s="1"/>
  <c r="G641" i="61"/>
  <c r="F641" i="61"/>
  <c r="F640" i="61" s="1"/>
  <c r="G637" i="61"/>
  <c r="G636" i="61" s="1"/>
  <c r="F637" i="61"/>
  <c r="F636" i="61" s="1"/>
  <c r="G632" i="61"/>
  <c r="G631" i="61" s="1"/>
  <c r="G630" i="61" s="1"/>
  <c r="F632" i="61"/>
  <c r="F631" i="61" s="1"/>
  <c r="F630" i="61" s="1"/>
  <c r="G521" i="61"/>
  <c r="G520" i="61" s="1"/>
  <c r="G519" i="61" s="1"/>
  <c r="F521" i="61"/>
  <c r="F520" i="61" s="1"/>
  <c r="F519" i="61" s="1"/>
  <c r="G502" i="61"/>
  <c r="G478" i="61" s="1"/>
  <c r="F502" i="61"/>
  <c r="F478" i="61" s="1"/>
  <c r="G378" i="61"/>
  <c r="G331" i="61" s="1"/>
  <c r="F378" i="61"/>
  <c r="F331" i="61" s="1"/>
  <c r="G291" i="61"/>
  <c r="G290" i="61" s="1"/>
  <c r="F291" i="61"/>
  <c r="F290" i="61" s="1"/>
  <c r="G212" i="61"/>
  <c r="F212" i="61"/>
  <c r="G157" i="61"/>
  <c r="G156" i="61" s="1"/>
  <c r="G152" i="61"/>
  <c r="F152" i="61"/>
  <c r="G122" i="61"/>
  <c r="G121" i="61" s="1"/>
  <c r="F122" i="61"/>
  <c r="F121" i="61" s="1"/>
  <c r="G110" i="61"/>
  <c r="F110" i="61"/>
  <c r="G105" i="61"/>
  <c r="G104" i="61" s="1"/>
  <c r="F105" i="61"/>
  <c r="F104" i="61" s="1"/>
  <c r="G101" i="61"/>
  <c r="G100" i="61" s="1"/>
  <c r="F101" i="61"/>
  <c r="F100" i="61" s="1"/>
  <c r="G67" i="61"/>
  <c r="G66" i="61" s="1"/>
  <c r="G65" i="61" s="1"/>
  <c r="G64" i="61" s="1"/>
  <c r="F67" i="61"/>
  <c r="F66" i="61" s="1"/>
  <c r="F65" i="61" s="1"/>
  <c r="F64" i="61" s="1"/>
  <c r="G61" i="61"/>
  <c r="G58" i="61" s="1"/>
  <c r="F61" i="61"/>
  <c r="F58" i="61" s="1"/>
  <c r="G54" i="61"/>
  <c r="F54" i="61"/>
  <c r="G50" i="61"/>
  <c r="G49" i="61" s="1"/>
  <c r="G48" i="61" s="1"/>
  <c r="G47" i="61" s="1"/>
  <c r="F49" i="61"/>
  <c r="F48" i="61" s="1"/>
  <c r="F47" i="61" s="1"/>
  <c r="G42" i="61"/>
  <c r="F42" i="61"/>
  <c r="G39" i="61"/>
  <c r="F39" i="61"/>
  <c r="F31" i="61"/>
  <c r="F30" i="61" s="1"/>
  <c r="G28" i="61"/>
  <c r="G27" i="61" s="1"/>
  <c r="G26" i="61" s="1"/>
  <c r="G25" i="61" s="1"/>
  <c r="F28" i="61"/>
  <c r="F27" i="61" s="1"/>
  <c r="F26" i="61" s="1"/>
  <c r="F25" i="61" s="1"/>
  <c r="F635" i="61" l="1"/>
  <c r="E23" i="3"/>
  <c r="E22" i="3" s="1"/>
  <c r="H96" i="2"/>
  <c r="I720" i="2"/>
  <c r="I660" i="2" s="1"/>
  <c r="I656" i="2" s="1"/>
  <c r="I655" i="2" s="1"/>
  <c r="I654" i="2" s="1"/>
  <c r="I653" i="2" s="1"/>
  <c r="I648" i="2" s="1"/>
  <c r="I647" i="2" s="1"/>
  <c r="I646" i="2" s="1"/>
  <c r="I96" i="2"/>
  <c r="I64" i="2" s="1"/>
  <c r="I43" i="2" s="1"/>
  <c r="F99" i="61"/>
  <c r="G99" i="61"/>
  <c r="H662" i="2"/>
  <c r="H661" i="2" s="1"/>
  <c r="D23" i="3"/>
  <c r="D22" i="3" s="1"/>
  <c r="G406" i="61"/>
  <c r="H160" i="2"/>
  <c r="H668" i="2"/>
  <c r="I304" i="2"/>
  <c r="I267" i="2" s="1"/>
  <c r="H720" i="2"/>
  <c r="H269" i="2"/>
  <c r="H268" i="2" s="1"/>
  <c r="H607" i="2"/>
  <c r="G640" i="61"/>
  <c r="G635" i="61" s="1"/>
  <c r="I607" i="2"/>
  <c r="G227" i="61"/>
  <c r="F227" i="61"/>
  <c r="F262" i="61"/>
  <c r="G262" i="61"/>
  <c r="G281" i="61"/>
  <c r="F151" i="61"/>
  <c r="G151" i="61"/>
  <c r="G177" i="61"/>
  <c r="G176" i="61" s="1"/>
  <c r="G172" i="61" s="1"/>
  <c r="G171" i="61" s="1"/>
  <c r="G163" i="61" s="1"/>
  <c r="F281" i="61"/>
  <c r="F233" i="61"/>
  <c r="G233" i="61"/>
  <c r="G70" i="61"/>
  <c r="F678" i="61"/>
  <c r="F677" i="61" s="1"/>
  <c r="F676" i="61" s="1"/>
  <c r="G678" i="61"/>
  <c r="G677" i="61" s="1"/>
  <c r="G676" i="61" s="1"/>
  <c r="F654" i="61"/>
  <c r="G654" i="61"/>
  <c r="G665" i="61"/>
  <c r="G664" i="61" s="1"/>
  <c r="F586" i="61"/>
  <c r="F585" i="61" s="1"/>
  <c r="H122" i="2"/>
  <c r="H116" i="2" s="1"/>
  <c r="F177" i="61"/>
  <c r="F176" i="61" s="1"/>
  <c r="F172" i="61" s="1"/>
  <c r="F171" i="61" s="1"/>
  <c r="F163" i="61" s="1"/>
  <c r="G190" i="61"/>
  <c r="G189" i="61" s="1"/>
  <c r="F190" i="61"/>
  <c r="F189" i="61" s="1"/>
  <c r="F120" i="61"/>
  <c r="G120" i="61"/>
  <c r="F53" i="61"/>
  <c r="F52" i="61" s="1"/>
  <c r="G38" i="61"/>
  <c r="G37" i="61" s="1"/>
  <c r="G53" i="61"/>
  <c r="G52" i="61" s="1"/>
  <c r="H440" i="2"/>
  <c r="G31" i="61"/>
  <c r="G30" i="61" s="1"/>
  <c r="F550" i="61"/>
  <c r="F406" i="61" s="1"/>
  <c r="F70" i="61"/>
  <c r="F38" i="61"/>
  <c r="F37" i="61" s="1"/>
  <c r="G651" i="61" l="1"/>
  <c r="G650" i="61" s="1"/>
  <c r="G649" i="61" s="1"/>
  <c r="G648" i="61" s="1"/>
  <c r="G629" i="61" s="1"/>
  <c r="F651" i="61"/>
  <c r="F650" i="61" s="1"/>
  <c r="F649" i="61" s="1"/>
  <c r="F648" i="61" s="1"/>
  <c r="F629" i="61" s="1"/>
  <c r="I512" i="2"/>
  <c r="I490" i="2" s="1"/>
  <c r="I489" i="2" s="1"/>
  <c r="H660" i="2"/>
  <c r="H656" i="2" s="1"/>
  <c r="H655" i="2" s="1"/>
  <c r="H654" i="2" s="1"/>
  <c r="H653" i="2" s="1"/>
  <c r="H648" i="2" s="1"/>
  <c r="H647" i="2" s="1"/>
  <c r="H646" i="2" s="1"/>
  <c r="I42" i="2"/>
  <c r="F584" i="61"/>
  <c r="G69" i="61"/>
  <c r="G24" i="61" s="1"/>
  <c r="F69" i="61"/>
  <c r="F24" i="61" s="1"/>
  <c r="H64" i="2"/>
  <c r="H43" i="2" s="1"/>
  <c r="H267" i="2"/>
  <c r="F261" i="61"/>
  <c r="F226" i="61"/>
  <c r="G226" i="61"/>
  <c r="G261" i="61"/>
  <c r="G260" i="61" s="1"/>
  <c r="G259" i="61" s="1"/>
  <c r="G125" i="61"/>
  <c r="G119" i="61" s="1"/>
  <c r="G584" i="61"/>
  <c r="F125" i="61"/>
  <c r="F119" i="61" s="1"/>
  <c r="F260" i="61" l="1"/>
  <c r="F259" i="61" s="1"/>
  <c r="H512" i="2"/>
  <c r="H490" i="2" s="1"/>
  <c r="H489" i="2" s="1"/>
  <c r="F162" i="61"/>
  <c r="I22" i="2"/>
  <c r="G162" i="61"/>
  <c r="G23" i="61" s="1"/>
  <c r="H42" i="2"/>
  <c r="F23" i="61" l="1"/>
  <c r="H22" i="2"/>
  <c r="F193" i="3" l="1"/>
  <c r="F192" i="3" s="1"/>
  <c r="F551" i="3" l="1"/>
  <c r="F550" i="3" s="1"/>
  <c r="F587" i="3" l="1"/>
  <c r="F586" i="3" s="1"/>
  <c r="J153" i="2"/>
  <c r="J152" i="2" s="1"/>
  <c r="J116" i="2" s="1"/>
  <c r="F585" i="3" l="1"/>
  <c r="F584" i="3" s="1"/>
  <c r="H156" i="61"/>
  <c r="F413" i="3" l="1"/>
  <c r="H31" i="61" l="1"/>
  <c r="H61" i="61" l="1"/>
  <c r="H58" i="61" s="1"/>
  <c r="F637" i="3" l="1"/>
  <c r="F323" i="3" l="1"/>
  <c r="F322" i="3" s="1"/>
  <c r="F312" i="3" s="1"/>
  <c r="F292" i="3"/>
  <c r="F291" i="3" s="1"/>
  <c r="F290" i="3" s="1"/>
  <c r="H233" i="61" l="1"/>
  <c r="F618" i="3" l="1"/>
  <c r="F380" i="3" l="1"/>
  <c r="F379" i="3" s="1"/>
  <c r="F378" i="3" l="1"/>
  <c r="H54" i="61" l="1"/>
  <c r="H53" i="61" s="1"/>
  <c r="F660" i="3"/>
  <c r="F652" i="3" s="1"/>
  <c r="F241" i="3"/>
  <c r="H502" i="61" l="1"/>
  <c r="H478" i="61" s="1"/>
  <c r="H665" i="61"/>
  <c r="H584" i="61" l="1"/>
  <c r="H30" i="61" l="1"/>
  <c r="J787" i="2" l="1"/>
  <c r="J786" i="2" s="1"/>
  <c r="J785" i="2" s="1"/>
  <c r="F554" i="3"/>
  <c r="F553" i="3" s="1"/>
  <c r="F329" i="3" l="1"/>
  <c r="F328" i="3" s="1"/>
  <c r="J664" i="2" l="1"/>
  <c r="J663" i="2" s="1"/>
  <c r="J662" i="2" s="1"/>
  <c r="F458" i="3"/>
  <c r="F457" i="3" s="1"/>
  <c r="J661" i="2" l="1"/>
  <c r="F645" i="3" l="1"/>
  <c r="F623" i="3"/>
  <c r="F620" i="3" s="1"/>
  <c r="F616" i="3"/>
  <c r="F613" i="3"/>
  <c r="F561" i="3"/>
  <c r="F560" i="3" s="1"/>
  <c r="F558" i="3"/>
  <c r="F557" i="3" s="1"/>
  <c r="F544" i="3"/>
  <c r="F384" i="3"/>
  <c r="F234" i="3"/>
  <c r="F233" i="3" s="1"/>
  <c r="F229" i="3"/>
  <c r="F227" i="3"/>
  <c r="F225" i="3"/>
  <c r="F209" i="3"/>
  <c r="J793" i="2"/>
  <c r="J792" i="2" s="1"/>
  <c r="J791" i="2" s="1"/>
  <c r="J784" i="2" s="1"/>
  <c r="J783" i="2" s="1"/>
  <c r="J656" i="2"/>
  <c r="J655" i="2" s="1"/>
  <c r="J654" i="2" s="1"/>
  <c r="J653" i="2" s="1"/>
  <c r="J648" i="2" s="1"/>
  <c r="J647" i="2" s="1"/>
  <c r="J107" i="2"/>
  <c r="J102" i="2"/>
  <c r="J62" i="2"/>
  <c r="J61" i="2" s="1"/>
  <c r="J60" i="2" s="1"/>
  <c r="J59" i="2" s="1"/>
  <c r="J54" i="2"/>
  <c r="J50" i="2" s="1"/>
  <c r="J49" i="2" s="1"/>
  <c r="J39" i="2"/>
  <c r="H650" i="61"/>
  <c r="H649" i="61" s="1"/>
  <c r="H641" i="61"/>
  <c r="H637" i="61"/>
  <c r="H636" i="61" s="1"/>
  <c r="H632" i="61"/>
  <c r="H631" i="61" s="1"/>
  <c r="H630" i="61" s="1"/>
  <c r="H521" i="61"/>
  <c r="H520" i="61" s="1"/>
  <c r="H291" i="61"/>
  <c r="H290" i="61" s="1"/>
  <c r="H281" i="61"/>
  <c r="H212" i="61"/>
  <c r="H122" i="61"/>
  <c r="H121" i="61" s="1"/>
  <c r="H110" i="61"/>
  <c r="H105" i="61"/>
  <c r="H104" i="61" s="1"/>
  <c r="H101" i="61"/>
  <c r="H100" i="61" s="1"/>
  <c r="H67" i="61"/>
  <c r="H66" i="61" s="1"/>
  <c r="H65" i="61" s="1"/>
  <c r="H64" i="61" s="1"/>
  <c r="H52" i="61"/>
  <c r="H50" i="61"/>
  <c r="H49" i="61" s="1"/>
  <c r="H48" i="61" s="1"/>
  <c r="H47" i="61" s="1"/>
  <c r="H39" i="61"/>
  <c r="H28" i="61"/>
  <c r="H27" i="61" s="1"/>
  <c r="H26" i="61" s="1"/>
  <c r="H25" i="61" s="1"/>
  <c r="F208" i="3" l="1"/>
  <c r="F165" i="3" s="1"/>
  <c r="J36" i="2"/>
  <c r="J35" i="2" s="1"/>
  <c r="J34" i="2" s="1"/>
  <c r="J33" i="2" s="1"/>
  <c r="H99" i="61"/>
  <c r="H519" i="61"/>
  <c r="H406" i="61" s="1"/>
  <c r="J101" i="2"/>
  <c r="F224" i="3"/>
  <c r="F223" i="3" s="1"/>
  <c r="F610" i="3"/>
  <c r="F556" i="3"/>
  <c r="F543" i="3" s="1"/>
  <c r="H227" i="61"/>
  <c r="H226" i="61" s="1"/>
  <c r="H190" i="61"/>
  <c r="H189" i="61" s="1"/>
  <c r="F327" i="3"/>
  <c r="F289" i="3" s="1"/>
  <c r="J607" i="2"/>
  <c r="H640" i="61"/>
  <c r="H635" i="61" s="1"/>
  <c r="H42" i="61"/>
  <c r="H38" i="61" s="1"/>
  <c r="H37" i="61" s="1"/>
  <c r="H678" i="61"/>
  <c r="H677" i="61" s="1"/>
  <c r="H676" i="61" s="1"/>
  <c r="H70" i="61"/>
  <c r="H152" i="61"/>
  <c r="F277" i="3"/>
  <c r="H378" i="61"/>
  <c r="H331" i="61" s="1"/>
  <c r="F247" i="3"/>
  <c r="J602" i="2"/>
  <c r="J601" i="2" s="1"/>
  <c r="J229" i="2"/>
  <c r="J160" i="2" s="1"/>
  <c r="H654" i="61"/>
  <c r="H648" i="61" s="1"/>
  <c r="F632" i="3"/>
  <c r="F377" i="3"/>
  <c r="H177" i="61"/>
  <c r="H176" i="61" s="1"/>
  <c r="H172" i="61" s="1"/>
  <c r="H171" i="61" s="1"/>
  <c r="H163" i="61" s="1"/>
  <c r="J305" i="2"/>
  <c r="J304" i="2" s="1"/>
  <c r="J267" i="2" s="1"/>
  <c r="J459" i="2"/>
  <c r="J458" i="2" s="1"/>
  <c r="J457" i="2" s="1"/>
  <c r="J440" i="2" s="1"/>
  <c r="J759" i="2"/>
  <c r="H262" i="61"/>
  <c r="H120" i="61"/>
  <c r="J646" i="2"/>
  <c r="F473" i="3"/>
  <c r="F164" i="3" l="1"/>
  <c r="J512" i="2"/>
  <c r="J490" i="2" s="1"/>
  <c r="J489" i="2" s="1"/>
  <c r="J96" i="2"/>
  <c r="J64" i="2" s="1"/>
  <c r="J43" i="2" s="1"/>
  <c r="H69" i="61"/>
  <c r="H24" i="61" s="1"/>
  <c r="H629" i="61"/>
  <c r="F472" i="3"/>
  <c r="H162" i="61"/>
  <c r="H125" i="61"/>
  <c r="F604" i="3"/>
  <c r="H151" i="61"/>
  <c r="F246" i="3"/>
  <c r="J758" i="2"/>
  <c r="J757" i="2" s="1"/>
  <c r="H664" i="61"/>
  <c r="F346" i="3"/>
  <c r="H261" i="61"/>
  <c r="H260" i="61" s="1"/>
  <c r="H259" i="61" s="1"/>
  <c r="F23" i="3" l="1"/>
  <c r="F22" i="3" s="1"/>
  <c r="J720" i="2"/>
  <c r="J660" i="2" s="1"/>
  <c r="H119" i="61"/>
  <c r="H23" i="61" s="1"/>
  <c r="J42" i="2"/>
  <c r="G62" i="1"/>
  <c r="F62" i="1"/>
  <c r="E62" i="1"/>
  <c r="G60" i="1"/>
  <c r="F60" i="1"/>
  <c r="E60" i="1"/>
  <c r="G56" i="1"/>
  <c r="F56" i="1"/>
  <c r="E56" i="1"/>
  <c r="E53" i="1"/>
  <c r="G53" i="1"/>
  <c r="F53" i="1"/>
  <c r="G46" i="1"/>
  <c r="F46" i="1"/>
  <c r="E46" i="1"/>
  <c r="G36" i="1"/>
  <c r="F36" i="1"/>
  <c r="E36" i="1"/>
  <c r="E32" i="1"/>
  <c r="G24" i="1"/>
  <c r="F24" i="1"/>
  <c r="E24" i="1"/>
  <c r="G23" i="1" l="1"/>
  <c r="F23" i="1"/>
  <c r="E23" i="1"/>
  <c r="J22" i="2"/>
</calcChain>
</file>

<file path=xl/sharedStrings.xml><?xml version="1.0" encoding="utf-8"?>
<sst xmlns="http://schemas.openxmlformats.org/spreadsheetml/2006/main" count="7379" uniqueCount="832">
  <si>
    <t>Развитие деятельности муниципального бюджетного учреждения Городской молодежный центр "Звездный"</t>
  </si>
  <si>
    <t>Транспорт</t>
  </si>
  <si>
    <t>Профессиональная подготовка, переподготовка и повышение квалификации</t>
  </si>
  <si>
    <t>Предоставление субсидий общественным организациям ветеранов войны, труда, вооруженных сил и правоохранительных органов, инвалидов и т.д.</t>
  </si>
  <si>
    <t>Другие вопросы в области национальной экономики</t>
  </si>
  <si>
    <t>Резервные фонды</t>
  </si>
  <si>
    <t>Массовый спорт</t>
  </si>
  <si>
    <t xml:space="preserve">Другие вопросы в области культуры, кинематографии </t>
  </si>
  <si>
    <t>Средства массовой информации</t>
  </si>
  <si>
    <t>13</t>
  </si>
  <si>
    <t>Обеспечение деятельности финансовых, налоговых и таможенных органов и органов (финансово-бюджетного) надзора</t>
  </si>
  <si>
    <t>Резервные фонды  местных администраций</t>
  </si>
  <si>
    <t>810</t>
  </si>
  <si>
    <t>Охрана семьи и детства</t>
  </si>
  <si>
    <t>Другие вопросы в области средств массовой информации</t>
  </si>
  <si>
    <t>Реализация государственных полномочий по созданию, исполнению полномочий и обеспечению деятельности комиссий по делам несовершеннолетних и защите их прав</t>
  </si>
  <si>
    <t>Осуществление  государственных полномочий Тверской области по созданию административных комиссий</t>
  </si>
  <si>
    <t>Функционирование высшего должностного лица субъекта Российской Федерации и муниципального образования</t>
  </si>
  <si>
    <t>Органы юстиции</t>
  </si>
  <si>
    <t>630</t>
  </si>
  <si>
    <t xml:space="preserve">Культура и кинематография </t>
  </si>
  <si>
    <t>Р</t>
  </si>
  <si>
    <t>Другие вопросы в области национальной безопасности и правоохранительной деятельности</t>
  </si>
  <si>
    <t>Обустройство и ремонт контейнерных площадок</t>
  </si>
  <si>
    <t>9940000000</t>
  </si>
  <si>
    <t>Подпрограмма "Организация похоронного дела"</t>
  </si>
  <si>
    <t>П</t>
  </si>
  <si>
    <t>Сумма тыс.руб.</t>
  </si>
  <si>
    <t>Расходы на обеспечение деятельности представительного органа местного самоуправления</t>
  </si>
  <si>
    <t>Расходы на обеспечение деятельности исполнительного органа местного самоуправления</t>
  </si>
  <si>
    <t>0230000000</t>
  </si>
  <si>
    <t>0290000000</t>
  </si>
  <si>
    <t>0700000000</t>
  </si>
  <si>
    <t>0710000000</t>
  </si>
  <si>
    <t>0730000000</t>
  </si>
  <si>
    <t>1300000000</t>
  </si>
  <si>
    <t>1310000000</t>
  </si>
  <si>
    <t>1320000000</t>
  </si>
  <si>
    <t>Отдельные мероприятия, не включенные в муниципальные программы</t>
  </si>
  <si>
    <t>Реализация  функций, связанных с общегосударственным управлением</t>
  </si>
  <si>
    <t>Прочие выплаты по обязательствам муниципального образования</t>
  </si>
  <si>
    <t>Коммунальное хозяйство</t>
  </si>
  <si>
    <t>Жилищное хозяйство</t>
  </si>
  <si>
    <t>0220000000</t>
  </si>
  <si>
    <t>Финансовое обеспечение повышения квалификации и профессиональной подготовки педагогических кадров</t>
  </si>
  <si>
    <t>Организация отдыха детей</t>
  </si>
  <si>
    <t>Обеспечивающая подпрограмма</t>
  </si>
  <si>
    <t>Жилищно-коммунальное хозяйство</t>
  </si>
  <si>
    <t>Благоустройство</t>
  </si>
  <si>
    <t>Организационное и методическое сопровождение государственной итоговой аттестации</t>
  </si>
  <si>
    <t>1100000000</t>
  </si>
  <si>
    <t>1110000000</t>
  </si>
  <si>
    <t>1120000000</t>
  </si>
  <si>
    <t>1130000000</t>
  </si>
  <si>
    <t>1140000000</t>
  </si>
  <si>
    <t>1200000000</t>
  </si>
  <si>
    <t>1210000000</t>
  </si>
  <si>
    <t>1220000000</t>
  </si>
  <si>
    <t>1230000000</t>
  </si>
  <si>
    <t>0200000000</t>
  </si>
  <si>
    <t>0210000000</t>
  </si>
  <si>
    <t>Командирование спортсменов муниципального образования для участия в официальных областных спортивно-массовых мероприятиях и соревнованиях</t>
  </si>
  <si>
    <t>120</t>
  </si>
  <si>
    <t>Расходы на выплаты персоналу государственных (муниципальных) органов</t>
  </si>
  <si>
    <t>110</t>
  </si>
  <si>
    <t>0600000000</t>
  </si>
  <si>
    <t>0610000000</t>
  </si>
  <si>
    <t>0900000000</t>
  </si>
  <si>
    <t>0910000000</t>
  </si>
  <si>
    <t>0300000000</t>
  </si>
  <si>
    <t>0310000000</t>
  </si>
  <si>
    <t>1000000000</t>
  </si>
  <si>
    <t>1010000000</t>
  </si>
  <si>
    <t>0100000000</t>
  </si>
  <si>
    <t>0110000000</t>
  </si>
  <si>
    <t>0120000000</t>
  </si>
  <si>
    <t>0190000000</t>
  </si>
  <si>
    <t>Организация выездов представителей молодежных общественных объединений на областные, межрегиональные, всероссийские мероприятия</t>
  </si>
  <si>
    <t>Расходы на выплату персоналу государственных (муниципальных) органов</t>
  </si>
  <si>
    <t xml:space="preserve">                                                        </t>
  </si>
  <si>
    <t>Подпрограмма "Реализация социальной политики"</t>
  </si>
  <si>
    <t>360</t>
  </si>
  <si>
    <t>Иные выплаты населению</t>
  </si>
  <si>
    <t>Подпрограмма "Обеспечение жильем отдельных категорий граждан"</t>
  </si>
  <si>
    <t>870</t>
  </si>
  <si>
    <t>Резервные средства</t>
  </si>
  <si>
    <t xml:space="preserve">к решению Собрания депутатов </t>
  </si>
  <si>
    <t>№ п/п</t>
  </si>
  <si>
    <t>01</t>
  </si>
  <si>
    <t>02</t>
  </si>
  <si>
    <t xml:space="preserve">                                 Наименование</t>
  </si>
  <si>
    <t>Общегосударственные вопросы</t>
  </si>
  <si>
    <t>В С Е Г О:</t>
  </si>
  <si>
    <t>03</t>
  </si>
  <si>
    <t>04</t>
  </si>
  <si>
    <t>05</t>
  </si>
  <si>
    <t>06</t>
  </si>
  <si>
    <t>Другие общегосударственные вопросы</t>
  </si>
  <si>
    <t>Национальная безопасность и правоохранительная деятельность</t>
  </si>
  <si>
    <t>09</t>
  </si>
  <si>
    <t>Национальная экономика</t>
  </si>
  <si>
    <t>08</t>
  </si>
  <si>
    <t>11</t>
  </si>
  <si>
    <t>Сельское хозяйство и рыболовство</t>
  </si>
  <si>
    <t>07</t>
  </si>
  <si>
    <t>Образование</t>
  </si>
  <si>
    <t>Культура</t>
  </si>
  <si>
    <t>Дошкольное образование</t>
  </si>
  <si>
    <t>Общее образование</t>
  </si>
  <si>
    <t>Другие вопросы в области образования</t>
  </si>
  <si>
    <t>10</t>
  </si>
  <si>
    <t>Социальная политика</t>
  </si>
  <si>
    <t>Пенсионное обеспечение</t>
  </si>
  <si>
    <t>КВР</t>
  </si>
  <si>
    <t>Глава муниципального образования</t>
  </si>
  <si>
    <t>Центральный аппарат</t>
  </si>
  <si>
    <t>Социальное обеспечение населения</t>
  </si>
  <si>
    <t xml:space="preserve"> Р</t>
  </si>
  <si>
    <t xml:space="preserve"> П</t>
  </si>
  <si>
    <t xml:space="preserve"> КЦСР</t>
  </si>
  <si>
    <t>Функционирование Правительства Российской Федерации, высших органов исполнительной власти субъектов Российской Федерации, местных администраций</t>
  </si>
  <si>
    <t>14</t>
  </si>
  <si>
    <t>12</t>
  </si>
  <si>
    <t>Физическая культура и спорт</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</si>
  <si>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</si>
  <si>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Обеспечение деятельности финансовых, налоговых и таможенных органов и органов финансового (финансово-бюджетного) надзора</t>
  </si>
  <si>
    <t>Защита населения и территории от чрезвычайных ситуаций природного и техногенного характера, гражданская оборона</t>
  </si>
  <si>
    <t>Функционирование законодательных (представительных) органов государственной власти и представительных органов муниципальных образований</t>
  </si>
  <si>
    <t>ППП</t>
  </si>
  <si>
    <t>"О районном бюджете Удомельского района на 2016 год"</t>
  </si>
  <si>
    <t>Расходы на выплаты персоналу казенных учреждений</t>
  </si>
  <si>
    <t>850</t>
  </si>
  <si>
    <t>Уплата налогов, сборов и иных платежей</t>
  </si>
  <si>
    <t>Финансовое обеспечение массовых мероприятий муниципального значения, способствующих духовно-нравственному воспитанию детей и формированию гражданской позиции</t>
  </si>
  <si>
    <t>Финансовое обеспечение мероприятий по формированию здорового образа жизни</t>
  </si>
  <si>
    <t>Организационно-методическое сопровождение организации и обеспечения подвоза учащихся и воспитанников общеобразовательных, дошкольных образовательных учреждений</t>
  </si>
  <si>
    <t xml:space="preserve"> Удомельского района от 17.12.2015 № 256</t>
  </si>
  <si>
    <t xml:space="preserve"> Приложение 1</t>
  </si>
  <si>
    <t>Удомельская городская Дума</t>
  </si>
  <si>
    <t>Председатель городской Думы</t>
  </si>
  <si>
    <t>плановый период</t>
  </si>
  <si>
    <t>2018 год</t>
  </si>
  <si>
    <t>2019 год</t>
  </si>
  <si>
    <t xml:space="preserve">"О  бюджете Удомельского городского округа </t>
  </si>
  <si>
    <t xml:space="preserve">Расходы, не включенные в муниципальные программы </t>
  </si>
  <si>
    <t>Расходы, не включенные в муниципальные программы</t>
  </si>
  <si>
    <t>0800000000</t>
  </si>
  <si>
    <t>0810000000</t>
  </si>
  <si>
    <t>Подпрограмма "Расселение аварийного жилищного фонда Удомельского городского округа"</t>
  </si>
  <si>
    <t>Подпрограмма "Капитальный ремонт общего имущества в многоквартирных домах на территории Удомельского городского округа"</t>
  </si>
  <si>
    <t>0510000000</t>
  </si>
  <si>
    <t>0520000000</t>
  </si>
  <si>
    <t>0530000000</t>
  </si>
  <si>
    <t>Уплата взносов на проведение капитального ремонта общего имущества в многоквартирных домах, в части муниципального жилищного фонда Удомельского городского округа</t>
  </si>
  <si>
    <t>0500000000</t>
  </si>
  <si>
    <t>Молодежная политика</t>
  </si>
  <si>
    <t>Дополнительное образование детей</t>
  </si>
  <si>
    <t>Подпрограмма "Управление имуществом Удомельского городского округа"</t>
  </si>
  <si>
    <t>Проведение инвентаризации муниципального имущества Удомельского городского округа</t>
  </si>
  <si>
    <t xml:space="preserve">Оценка рыночной стоимости объектов недвижимости и рыночной стоимости арендной платы за объекты муниципального имущества </t>
  </si>
  <si>
    <t>Обеспечение учета муниципального имущества для поддержки полной и достоверной информации об объектах, находящихся в собственности муниципального образования Удомельский городской округ</t>
  </si>
  <si>
    <t>Содержание объектов нежилого фонда муниципальной казны Удомельского городского округа</t>
  </si>
  <si>
    <t>Подпрограмма "Управление земельными ресурсами Удомельского городского округа"</t>
  </si>
  <si>
    <t>0320000000</t>
  </si>
  <si>
    <t>Организация работ по формированию земельных участков, в том числе по объектам жилищно-коммунального хозяйства</t>
  </si>
  <si>
    <t>Подпрограмма "Сохранность автомобильных дорог общего пользования местного значения на территории Удомельского городского округа"</t>
  </si>
  <si>
    <t>Подпрограмма "Поддержка средств массовой информации муниципального образования Удомельский городской округ"</t>
  </si>
  <si>
    <t>Формирование земельных участков для бесплатного предоставления многодетным гражданам</t>
  </si>
  <si>
    <t>Приобретение  жилых помещений для детей-сирот, детей, оставшихся без попечения родителей за счет средств областного бюджета Тверской области</t>
  </si>
  <si>
    <t>Финансирование расходов на борьбу с борщевиком Сосновского</t>
  </si>
  <si>
    <t>Сохранение и развитие библиотечного дела в Удомельском городском округе</t>
  </si>
  <si>
    <t>Подпрограмма "Культура Удомельского городского округа"</t>
  </si>
  <si>
    <t>Организация и проведение культурно-досуговых мероприятий и развитие народного творчества в Удомельском городском округе</t>
  </si>
  <si>
    <t>Развитие дополнительного образования в сфере культуры и искусства</t>
  </si>
  <si>
    <t>Популяризация и пропаганда деятельности по сохранению объектов культурного наследия Удомельского городского округа</t>
  </si>
  <si>
    <t xml:space="preserve"> Управление культуры, спорта и молодежной политики Администрации Удомельского городского округа</t>
  </si>
  <si>
    <t>Проведение официальных муниципальных физкультурно-оздоровительных и спортивных мероприятий для всех возрастных групп и категорий населения муниципального образования Удомельского городского округа</t>
  </si>
  <si>
    <t xml:space="preserve">Подпрограмма "Молодежь Удомельского городского округа" </t>
  </si>
  <si>
    <t>Организация и проведение творческих  мероприятий для детей и молодежи</t>
  </si>
  <si>
    <t xml:space="preserve">Подпрограмма "Противодействие незаконному обороту наркотиков, наркомании, алкоголизму, табакокурению и другим видам зависимости в Удомельском городском округе" </t>
  </si>
  <si>
    <t>Проведение мероприятий для подростков и молодежи, направленных на формирование здорового образа жизни и  негативного отношения к наркомании, алкоголизму , табакокурению. Поддержка детского и молодежного самодеятельного творчества</t>
  </si>
  <si>
    <t>Социальная реклама</t>
  </si>
  <si>
    <t>Финансовое обеспечение компенсации расходов на оплату жилых помещений, отопления и освещения педагогическим работникам образовательных учреждений, проживающим и работающим в сельских населенных пунктах Удомельского городского округа</t>
  </si>
  <si>
    <t>Финансовое обеспечение деятельности муниципального центра тестирования ГТО</t>
  </si>
  <si>
    <t>Содержание автомобильных дорог общего пользования регионального и межмуниципального значения Тверской области 3 класса на территории Удомельского городского округа</t>
  </si>
  <si>
    <t>Содержание улично-дорожной сети в городе Удомля</t>
  </si>
  <si>
    <t>Подпрограмма "Организации регулярных перевозок пассажиров и багажа автомобильным транспортом на территории Удомельского городского округа"</t>
  </si>
  <si>
    <t>Подпрограмма "Общественная безопасность и профилактика правонарушений на территории Удомельского городского округа"</t>
  </si>
  <si>
    <t>Обслуживание газового хозяйства северной части города Удомля</t>
  </si>
  <si>
    <t>Разработка и актуализация схем теплоснабжения, водоснабжения Удомельского городского округа</t>
  </si>
  <si>
    <t>Организация и содержание мест захоронений (кладбищ)</t>
  </si>
  <si>
    <t>Оформление и обустройство новых мест под захоронения</t>
  </si>
  <si>
    <t>Финансирование расходов по проведению субботников</t>
  </si>
  <si>
    <t>Изготовление наглядной агитации: памятки,плакаты,рекламные щиты</t>
  </si>
  <si>
    <t>9950000000</t>
  </si>
  <si>
    <t>Казенные учреждения, не включенные в муниципальные программы</t>
  </si>
  <si>
    <t>Администрация Удомельского городского округа</t>
  </si>
  <si>
    <t>Финансовое Управление Администрации Удомельского городского округа</t>
  </si>
  <si>
    <t>Дорожное хозяйство (дорожные фонды)</t>
  </si>
  <si>
    <t>Подпрограмма "Повышение пожарной безопасности на территории Удомельского городского округа"</t>
  </si>
  <si>
    <t>Контрольно-счетная комиссия Удомельского городского округа</t>
  </si>
  <si>
    <t>Подпрограмма "Физическая культура и спорт  Удомельского городского округа"</t>
  </si>
  <si>
    <t>Приобретение жилых помещений для малоимущих многодетных семей за счет местного бюджета</t>
  </si>
  <si>
    <t>Подпрограмма "Снижение рисков и смягчение последствий чрезвычайных ситуаций на территории Удомельского городского округа"</t>
  </si>
  <si>
    <t>Подпрограмма "Осуществление мероприятий по обеспечению безопасности людей на водных объектах Удомельского городского округа"</t>
  </si>
  <si>
    <t>Оснащение и модернизация сил и средств для оповещения населения об угрозе возникновения или о возникновении чрезвычайных ситуаций</t>
  </si>
  <si>
    <t>Организация и проведение акций, посвященных памятным датам истории России, государственным символам Российской Федерации</t>
  </si>
  <si>
    <t>Управление образования  Администрации Удомельского городского округа</t>
  </si>
  <si>
    <t>0210100000</t>
  </si>
  <si>
    <t>0230100000</t>
  </si>
  <si>
    <t>0810100000</t>
  </si>
  <si>
    <t>240</t>
  </si>
  <si>
    <t>Иные закупки товаров, работ и услуг для обеспечения государственных (муниципальных) нужд</t>
  </si>
  <si>
    <t>Задача "Сохранение и развитие культурного потенциала Удомельского городского округа"</t>
  </si>
  <si>
    <t>0920000000</t>
  </si>
  <si>
    <t>Организация транспортного обслуживания населения на муниципальных маршрутах регулярных перевозок по регулируемым тарифам на территории Удомельского городского округа</t>
  </si>
  <si>
    <t>Подпрограмма "Создание условий для формирования современной городской среды и обустройства мест массового отдыха населения (общественной территории) на территории Удомельского городского округа"</t>
  </si>
  <si>
    <t>Оснащение сил и средств гражданской обороны, создание материальных запасов</t>
  </si>
  <si>
    <t>1110100000</t>
  </si>
  <si>
    <t>1120100000</t>
  </si>
  <si>
    <t>1130100000</t>
  </si>
  <si>
    <t>Информирование населения по противодействию терроризму и экстремизму</t>
  </si>
  <si>
    <t>Задача "Создание необходимых условий для обеспечения безопасности людей на водных объектах Удомельского городского округа</t>
  </si>
  <si>
    <t>Информирование населения по безопасному нахождению на водных объектах</t>
  </si>
  <si>
    <t>Субсидии бюджетным учреждениям</t>
  </si>
  <si>
    <t>610</t>
  </si>
  <si>
    <t>1010100000</t>
  </si>
  <si>
    <t>1600000000</t>
  </si>
  <si>
    <t>1610000000</t>
  </si>
  <si>
    <t>Подпрограмма "Повышение безопасности дорожного движения на территории Удомельского городского округа"</t>
  </si>
  <si>
    <t>1610100000</t>
  </si>
  <si>
    <t>Задача "Профилактика дорожно-транспортных происшествий на территории Удомельского городского округа"</t>
  </si>
  <si>
    <t>Подпрограмма "Поддержка средств массовой информации муниципального образования  Удомельского городского округа"</t>
  </si>
  <si>
    <t>Задача "Создание эффективной системы обеспечения населения качественными и доступными услугами, поддержка отдельных категорий граждан"</t>
  </si>
  <si>
    <t>Задача "Обслуживание действующего емкостного газового хозяйства северной части города Удомля"</t>
  </si>
  <si>
    <t>0710100000</t>
  </si>
  <si>
    <t>0730100000</t>
  </si>
  <si>
    <t>1210100000</t>
  </si>
  <si>
    <t>1220100000</t>
  </si>
  <si>
    <t>Задача "Содержание мест захоронений"</t>
  </si>
  <si>
    <t>1230100000</t>
  </si>
  <si>
    <t>Задача "Предотвращение и ликвидация вредного воздействия отходов производства и потребления на окружающую среду"</t>
  </si>
  <si>
    <t>0310100000</t>
  </si>
  <si>
    <t>Задача "Оптимизация состава муниципального имущества Удомельского городского округа"</t>
  </si>
  <si>
    <t>0310200000</t>
  </si>
  <si>
    <t>Задача "Повышение эффективности использования имущества, находящегося в собственности муниципального образования Удомельский городской округ"</t>
  </si>
  <si>
    <t>0320100000</t>
  </si>
  <si>
    <t>Бюджетные инвестиции</t>
  </si>
  <si>
    <t>410</t>
  </si>
  <si>
    <t>Социальные выплаты гражданам, кроме публичных нормативных социальных выплат</t>
  </si>
  <si>
    <t>Подпрограмма" Профилактика терроризма и экстремизма на территории Удомельского городского округа"</t>
  </si>
  <si>
    <t>Изготовление наглядной агитации: памятки, плакаты, рекламные щиты</t>
  </si>
  <si>
    <t>0210200000</t>
  </si>
  <si>
    <t>Задача "Укрепление и модернизация материально-технической базы муниципальных учреждений культуры Удомельского городского округа"</t>
  </si>
  <si>
    <t>0210300000</t>
  </si>
  <si>
    <t>Задача "Сохранение культурного наследия Удомельского городского округа"</t>
  </si>
  <si>
    <t>0220100000</t>
  </si>
  <si>
    <t>Задача "Развитие массового спорта и физкультурно-оздоровительного движения среди всех возрастных групп и категорий населения Удомельского городского округа, включая лиц с ограниченными физическими возможностями и инвалидов"</t>
  </si>
  <si>
    <t>0230200000</t>
  </si>
  <si>
    <t>Задача "Создание условий для повышения качества и разнообразия услуг, предоставляемых в сфере молодежной политики, удовлетворения потребностей в развитии и реализации духовного потенциала молодежи"</t>
  </si>
  <si>
    <t>320</t>
  </si>
  <si>
    <t>Расходы на руководство и управление администратора программы (Управление культуры, спорта и молодежной политики Администрации Удомельского городского округа)</t>
  </si>
  <si>
    <t>0510100000</t>
  </si>
  <si>
    <t>Содержания муниципальных жилых помещений до момента их предоставления в пользование гражданам</t>
  </si>
  <si>
    <t>Задача  "Обеспечение содержания и сохранности муниципального жилищного фонда"</t>
  </si>
  <si>
    <t>Задача  "Проведение текущего ремонта жилых помещений муниципального жилищного фонда"</t>
  </si>
  <si>
    <t>0520100000</t>
  </si>
  <si>
    <t>Задача "Выявление аварийного жилищного фонда"</t>
  </si>
  <si>
    <t>Обследование многоквартирных домов, домов блокированной застройки, в которых находится муниципальная собственность Удомельского городского округа, для признания таких домов аварийными, подлежащими сносу или реконструкции, а также муниципальных жилых помещений для признания пригодными (не пригодными) для проживания граждан</t>
  </si>
  <si>
    <t>0520200000</t>
  </si>
  <si>
    <t xml:space="preserve"> Наименование</t>
  </si>
  <si>
    <t xml:space="preserve"> Бюджетные инвестиции</t>
  </si>
  <si>
    <t>Снос аварийных многоквартирных домов и домов блокированной застройки</t>
  </si>
  <si>
    <t>0530100000</t>
  </si>
  <si>
    <t>0530200000</t>
  </si>
  <si>
    <t>1310100000</t>
  </si>
  <si>
    <t>Задача "Содействие в решении жилищных проблем малоимущих многодетных семей"</t>
  </si>
  <si>
    <t>1310200000</t>
  </si>
  <si>
    <t>1320200000</t>
  </si>
  <si>
    <t>310</t>
  </si>
  <si>
    <t>Публичные нормативные социальные выплаты гражданам</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</si>
  <si>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</si>
  <si>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0110200000</t>
  </si>
  <si>
    <t>0110300000</t>
  </si>
  <si>
    <t>Расходы на обеспечение деятельности казенного учреждения Централизованная бухгалтерия</t>
  </si>
  <si>
    <t>Содержание казенных учреждений</t>
  </si>
  <si>
    <t>Финансовое обеспечение муниципального задания на оказание муниципальных услуг (выполнение работ) муниципальных бюджетных общеобразовательных учреждений</t>
  </si>
  <si>
    <t>0120100000</t>
  </si>
  <si>
    <t>Судебная система</t>
  </si>
  <si>
    <t>1210200000</t>
  </si>
  <si>
    <t>Задача "Благоустройство и наружное оформление территории города Удомля"</t>
  </si>
  <si>
    <t>1140100000</t>
  </si>
  <si>
    <t>Задача "Осуществление подготовки и содержания в готовности необходимых сил и средств для защиты населения и территории Удомельского городского округа от чрезвычайных ситуаций"</t>
  </si>
  <si>
    <t>Задача "Эффективное управление муниципальными унитарными предприятиями"</t>
  </si>
  <si>
    <t>Выполнение работ по содержанию автомобильных дорог общего пользования местного значения и сооружений на них, нацеленное на обеспечение их проезжаемости и безопасности до сельских населенных пунктов"</t>
  </si>
  <si>
    <t>0910100000</t>
  </si>
  <si>
    <t>Задача "Развитие автомобильного транспорта"</t>
  </si>
  <si>
    <t>Подпрограмма "Содержание и ремонт муниципального жилищного фонда Удомельского городского округа"</t>
  </si>
  <si>
    <t>0510200000</t>
  </si>
  <si>
    <t>Определение стоимости возмещения за жилое помещение в аварийном жилищном фонде Удомельского городского округа</t>
  </si>
  <si>
    <t>1310300000</t>
  </si>
  <si>
    <t>Задача "Осуществление взаимодействия с общественными организациями по реализации социально значимых мероприятий"</t>
  </si>
  <si>
    <t>Задача "Распределение объемов энергоресурсов на инженерных сетях Удомельского городского округа"</t>
  </si>
  <si>
    <t>Задача "Создание необходимых условий по обеспечению пожарной безопасности на территории  Удомельского городского округа"</t>
  </si>
  <si>
    <t>09201S0300</t>
  </si>
  <si>
    <t>13101S0290</t>
  </si>
  <si>
    <t>Задача "Содержание автомобильных дорог и сооружений на них в границах Удомельского городского округа"</t>
  </si>
  <si>
    <t>Финансовое обеспечение мероприятий по подвозу учащихся из средств областного бюджета</t>
  </si>
  <si>
    <t>Задача "Организация и проведение патриотических и творческих мероприятий"</t>
  </si>
  <si>
    <t>Задача "Эффективное управление и распоряжение муниципальными земельными участками и земельными участками, государственная собственность на которые не разграничена"</t>
  </si>
  <si>
    <t>Задача "Реализация механизма проведения капитального ремонта общего имущества в многоквартирных домах, в соответствии с действующим законодательством Российской Федерации"</t>
  </si>
  <si>
    <t>Задача "Проведение профилактических мероприятий по предупреждению террористических и экстремистских проявлений на территории Удомельского городского округа"</t>
  </si>
  <si>
    <t>Задача "Проведение работы по профилактике распространения наркомании, алкоголизма и связанных с ними правонарушений</t>
  </si>
  <si>
    <t>Повышение заработной платы работникам муниципальных учреждений культуры  из бюджета Удомельского городского округа</t>
  </si>
  <si>
    <t>Повышение заработной платы из областного бюджета работникам учреждений дополнительного образования в сфере культуры и искусства Удомельского городского округа</t>
  </si>
  <si>
    <t>Повышение заработной платы работникам учреждений дополнительного образования в сфере культуры и искусства из бюджета Удомельского городского округа</t>
  </si>
  <si>
    <t xml:space="preserve">Реализация мероприятий по благоустройству общественных территорий </t>
  </si>
  <si>
    <t xml:space="preserve">Предоставление молодым семьям Удомельского городского округа социальных выплат на приобретение (строительство) жилья </t>
  </si>
  <si>
    <t>Субсидии юридическим лицам (кроме некоммерческих организаций), индивидуальным предпринимателям, физическим лицам - производителям товаров,работ,услуг</t>
  </si>
  <si>
    <t>код</t>
  </si>
  <si>
    <t>000 01 05 00 00 00 0000 000</t>
  </si>
  <si>
    <t>Изменение остатков средств на счетах по учету средств бюджета</t>
  </si>
  <si>
    <t>000 01 05 00 00 00 0000 500</t>
  </si>
  <si>
    <t>Увеличение остатков средств бюджетов</t>
  </si>
  <si>
    <t>Увеличение прочих остатков денежных средств бюджетов городских округов</t>
  </si>
  <si>
    <t>000 01 05 00 00 00 0000 600</t>
  </si>
  <si>
    <t>Уменьшение остатков средств бюджетов</t>
  </si>
  <si>
    <t>Уменьшение прочих остатков денежных средств бюджетов городских округов</t>
  </si>
  <si>
    <t xml:space="preserve"> Итого источники финансирования дефицита бюджета </t>
  </si>
  <si>
    <t>Содержание светофорного регулирования</t>
  </si>
  <si>
    <t>13103L4970</t>
  </si>
  <si>
    <t>Задача "Обеспечение жильем молодых семей Удомельского городского округа "</t>
  </si>
  <si>
    <t>0110100000</t>
  </si>
  <si>
    <t>Страхование газового хозяйства северной части города Удомля</t>
  </si>
  <si>
    <t>Задача "Содержание действующего емкостного газового хозяйства северной части города Удомля"</t>
  </si>
  <si>
    <t>Проведение текущего ремонта муниципального жилого фонда</t>
  </si>
  <si>
    <t>Задача "Вовлечение земельных участков в хозяйственный оборот"</t>
  </si>
  <si>
    <t>Задача "Профилактика  совершения правонарушений и преступлений в общественных местах"</t>
  </si>
  <si>
    <t>Предоставление компенсаций членам добровольной народной дружины Удомельского городского округа, участвовавшим в охране общественного порядка</t>
  </si>
  <si>
    <t>Нанесение осевой горизонтальной разметки  на территории  Удомельского городского округа</t>
  </si>
  <si>
    <t>0320200000</t>
  </si>
  <si>
    <t>Подпрограмма "Развитие инженерных сетей округа"</t>
  </si>
  <si>
    <t>09101S1050</t>
  </si>
  <si>
    <t>Выполнение работ по ремонту дорог общего пользования</t>
  </si>
  <si>
    <t>Ремонт автомобильных дорог за счет средств областного бюджета</t>
  </si>
  <si>
    <t>Ремонт дворовых территорий многоквартирных домов, проездов к дворовым территориям многоквартирных домов</t>
  </si>
  <si>
    <t>09101S1020</t>
  </si>
  <si>
    <t>Ремонт дворовых территорий многоквартирных домов, проездов к дворовым территориям многоквартирных домов за счет средств областного бюджета</t>
  </si>
  <si>
    <t>Обеспечение безопасности дорожного движения на автомобильных дорогах общего пользования местного значения за счет средств областного бюджета</t>
  </si>
  <si>
    <t>141F255552</t>
  </si>
  <si>
    <t xml:space="preserve">Обеспечение безопасности дорожного движения на автомобильных дорогах общего пользования местного значения </t>
  </si>
  <si>
    <t>Повышение заработной платы из областного бюджета работникам муниципальных учреждений культуры Удомельского городского округа</t>
  </si>
  <si>
    <t xml:space="preserve">Предоставление субсидии  из бюджета Удомельского  городского округа на поддержку некоммерческих организаций </t>
  </si>
  <si>
    <t>161R3S1090</t>
  </si>
  <si>
    <t>161R311090</t>
  </si>
  <si>
    <t>350</t>
  </si>
  <si>
    <t>Премии и гранты</t>
  </si>
  <si>
    <t xml:space="preserve">Приобретение информационно-пропагандической продукции по безопасности дорожного движения </t>
  </si>
  <si>
    <t>Размещение социальной рекламы по безопасности дорожного движения</t>
  </si>
  <si>
    <t>Муниципальные программы</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</si>
  <si>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</si>
  <si>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Подпрограмма "Реализация Программы поддержки местных инициатив Тверской области на территории Удомельского городского округа"</t>
  </si>
  <si>
    <t>Пенсии за выслугу лет муниципальным служащим</t>
  </si>
  <si>
    <t>Задача "Повышение уровня благоустройства общественных территорий  в соответствии с едиными требованиями и внедрение цифровых сервисов и современных технологий, направленных на создание благоприятной (комфортной) городской среды"</t>
  </si>
  <si>
    <t>Осуществление переданных полномочий Российской Федерации на государственную регистрацию актов гражданского состояния</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</si>
  <si>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</si>
  <si>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Обеспечение развития и укрепления материально-технической базы домов культуры в населенных пунктах с числом жителей до 50 тысяч человек</t>
  </si>
  <si>
    <t>0730200000</t>
  </si>
  <si>
    <t>0720000000</t>
  </si>
  <si>
    <t>Строительство объектов водоснабжения и водоотведения</t>
  </si>
  <si>
    <t>к решению Удомельской городской Думы</t>
  </si>
  <si>
    <t>Организация бесплатного горячего питания обучающихся, получающих начальное общее образование в муниципальных образовательных учреждениях</t>
  </si>
  <si>
    <t>Защита населения и территории от чрезвычайных ситуаций природного и техногенного характера,  пожарная безопасность</t>
  </si>
  <si>
    <t>Ремонт автомобильных дорог на территории г.Удомля</t>
  </si>
  <si>
    <t>Поддержка волонтерского движения</t>
  </si>
  <si>
    <t>Муниципальная программа "Создание условий для экономического развития Удомельского городского округа на 2022-2027 годы"</t>
  </si>
  <si>
    <t>141F200000</t>
  </si>
  <si>
    <t>Задача "Реализация  проекта "Формирование комфортной городской среды" в рамках национального проекта "Жилье и городская среда"</t>
  </si>
  <si>
    <t>Обеспечение государственных гарантий реализации прав на получение бесплатного дошкольного образования  за счет средств областного бюджета</t>
  </si>
  <si>
    <t>0110110740</t>
  </si>
  <si>
    <t>Финансовое обеспечение муниципального задания на оказание муниципальных услуг (выполнение работ) муниципальных бюджетных образовательных учреждений дошкольного образования</t>
  </si>
  <si>
    <t>0110121100</t>
  </si>
  <si>
    <t>Задача "Развитие инфраструктуры дошкольных образовательных учреждений"</t>
  </si>
  <si>
    <t>Финансовое обеспечение мероприятий капитального и (или) текущего ремонтов муниципальных дошкольных образовательных учреждений</t>
  </si>
  <si>
    <t>0110221210</t>
  </si>
  <si>
    <t>Задача " Содействие развитию системы дошкольного образования"</t>
  </si>
  <si>
    <t>Компенсация части родительской платы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</si>
  <si>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0110310500</t>
  </si>
  <si>
    <t>Подпрограмма "Развитие системы дошкольного образования"</t>
  </si>
  <si>
    <t>Задача "Обеспечение качества условий предоставления образовательных услуг учреждениями дошкольного образования"</t>
  </si>
  <si>
    <t>Задача "Обеспечение качества условий предоставления образовательных услуг муниципальными бюджетными общеобразовательными учреждениямиг"</t>
  </si>
  <si>
    <t>Обеспечение государственных гарантий реализации прав на получение бесплатного начального общего, основного общего и среднего общего образования  за счет средств областного бюджета</t>
  </si>
  <si>
    <t>0120110750</t>
  </si>
  <si>
    <t>0120121100</t>
  </si>
  <si>
    <t xml:space="preserve"> Ежемесячное денежное вознаграждение за классное руководство педагогическим работникам муниципальных образовательных учреждений</t>
  </si>
  <si>
    <t>Задача "Развитие инфраструктуры муниципальных общеобразовательных учреждений"</t>
  </si>
  <si>
    <t>0120200000</t>
  </si>
  <si>
    <t>0120221210</t>
  </si>
  <si>
    <t>Финансовое обеспечение мероприятий капитального и (или) текущего ремонтов муниципальных  общеобразовательных учреждений</t>
  </si>
  <si>
    <t>0120221220</t>
  </si>
  <si>
    <t xml:space="preserve"> Обеспечение комплексной безопасности зданий и помещений общеобразовательных учреждений, находящихся в муниципальной собственности</t>
  </si>
  <si>
    <t>0120300000</t>
  </si>
  <si>
    <t>0120310250</t>
  </si>
  <si>
    <t>01203S0250</t>
  </si>
  <si>
    <t>0120321260</t>
  </si>
  <si>
    <t>0120400000</t>
  </si>
  <si>
    <t>Задача "Обеспечение деятельности по сохранению и укреплению здоровья школьников, формирование основ здорового образа жизни"</t>
  </si>
  <si>
    <t>01204S0240</t>
  </si>
  <si>
    <t xml:space="preserve"> Финансирование обеспечение отдыха, оздоровления и занятости детей и подростков</t>
  </si>
  <si>
    <t>0120410240</t>
  </si>
  <si>
    <t>0130000000</t>
  </si>
  <si>
    <t>Подпрограмма "Развитие системы дополнительного образования и воспитания детей"</t>
  </si>
  <si>
    <t>Задача "Обеспечение качества условий предоставления образовательных услуг учреждениями дополнительного образования"</t>
  </si>
  <si>
    <t xml:space="preserve"> Финансовое обеспечение муниципального задания на оказание муниципальных услуг (выполнение работ) муниципальных бюджетных учреждений дополнительного образования</t>
  </si>
  <si>
    <t>0130121100</t>
  </si>
  <si>
    <t>0130100000</t>
  </si>
  <si>
    <t>0130110690</t>
  </si>
  <si>
    <t xml:space="preserve"> Финансовое обеспечение повышения заработной платы педагогическим работникам  муниципальных бюджетных учреждений дополнительного образования за счет средств областного бюджета</t>
  </si>
  <si>
    <t>01301S0690</t>
  </si>
  <si>
    <t xml:space="preserve"> Финансовое обеспечение повышения заработной платы педагогическим работникам  муниципальных бюджетных учреждений дополнительного образования за счет средств бюджета округа</t>
  </si>
  <si>
    <t>Задача "Обеспечение доступности  направлений дополнительного образования"</t>
  </si>
  <si>
    <t>0130300000</t>
  </si>
  <si>
    <t>Финансовое обеспечение участия в спортивных мероприятиях регионального,всероссийского, международного уровней</t>
  </si>
  <si>
    <t>0130321400</t>
  </si>
  <si>
    <t>0130321500</t>
  </si>
  <si>
    <t>Финансовое обеспечение муниципального мероприятия "День защиты детей"</t>
  </si>
  <si>
    <t>Подпрограмма "Создание современной образовательной среды"</t>
  </si>
  <si>
    <t>0140000000</t>
  </si>
  <si>
    <t>0140100000</t>
  </si>
  <si>
    <t>Финансовое обеспечение поощрения лучших педагогов,работающих в муниципальной сети профильных курсов</t>
  </si>
  <si>
    <t>Финансовое обеспечение участия педагогов и обучающихся в региональных и межрегиональных мероприятиях в рамках регионального проекта "Цифровая образовательная среда"</t>
  </si>
  <si>
    <t>0140200000</t>
  </si>
  <si>
    <t>Задача "Создание условий для непрывного развития кадрового потенциала отрасли "Образование"</t>
  </si>
  <si>
    <t>0140300000</t>
  </si>
  <si>
    <t>01403S1080</t>
  </si>
  <si>
    <t>Финансовое обеспечение участия детей и подростков в социально-значимых региональных проектах из бюджета Удомельского городского округа</t>
  </si>
  <si>
    <t xml:space="preserve"> Организация участия детей и подростков в социально-значимых региональных проектах</t>
  </si>
  <si>
    <t xml:space="preserve"> Расходы на руководство и управление главного администратора программы (Управление образования Администрации Удомельского городского округа)</t>
  </si>
  <si>
    <t>02101S0680</t>
  </si>
  <si>
    <t>Задача "Развитие художественно-эстетического округа"</t>
  </si>
  <si>
    <t>02102S0690</t>
  </si>
  <si>
    <t>02103L4670</t>
  </si>
  <si>
    <t>021А200000</t>
  </si>
  <si>
    <t>Задача "Реализация  проекта "Творческие люди" в рамках национального проекта "Культура"</t>
  </si>
  <si>
    <t>Государственная поддержка отрасли культуры (в части оказания государственной поддержки лучшим работникам сельских учреждений культуры)</t>
  </si>
  <si>
    <t>021А255194</t>
  </si>
  <si>
    <t>0210600000</t>
  </si>
  <si>
    <t>0210623035</t>
  </si>
  <si>
    <t>0220123040</t>
  </si>
  <si>
    <t>0220123045</t>
  </si>
  <si>
    <t>0230123050</t>
  </si>
  <si>
    <t>0230123055</t>
  </si>
  <si>
    <t>0230123060</t>
  </si>
  <si>
    <t>0230123065</t>
  </si>
  <si>
    <t xml:space="preserve"> Финансовое обеспечение мероприятий капитального и (или) текущего ремонтов муниципальных  учреждений  в сфере молодежной политики</t>
  </si>
  <si>
    <t>Задача "Укрепление и модернизация материально-технической базы муниципальных учреждений  в сфере молодежной политикиУдомельского городского округа"</t>
  </si>
  <si>
    <t>0230300000</t>
  </si>
  <si>
    <t>0310123171</t>
  </si>
  <si>
    <t>0310223172</t>
  </si>
  <si>
    <t>0310223173</t>
  </si>
  <si>
    <t>0320123190</t>
  </si>
  <si>
    <t>0320223195</t>
  </si>
  <si>
    <t>Подпрограмма "Создание условий для развития экономического потенциала и формирования благоприятного предпринимательского климата"</t>
  </si>
  <si>
    <t>Задача "Предотвращение распространения борщевика Сосновского на территории Удомельского городского округа"</t>
  </si>
  <si>
    <t>2024 год</t>
  </si>
  <si>
    <t xml:space="preserve"> Создание и развитие школы малого и среднего предпринимательства</t>
  </si>
  <si>
    <t>Задача "Управление качеством образования"</t>
  </si>
  <si>
    <t>Задача "Развитие и поддержка субъектов малого и среднего предпринимательства и самозанятых в Удомельском городском округе"</t>
  </si>
  <si>
    <t>Задача "Расширение доступа субъектов малого и среднего предпринимательства и самозанятых к финансовым ресурсам"</t>
  </si>
  <si>
    <t>0410300000</t>
  </si>
  <si>
    <t>Предоставление гранта в форме субсидии субъектам малого и среднего предпринимательства на создание и развитие крестьянского (фермерского) хозяйства</t>
  </si>
  <si>
    <t>Предоставление субсидий субъектам малого и среднего предпринимательства - сельскохозяйственным кооперативам и крестьянским (фермерским) хозяйствам на проведение профилактических, противоэпизодических, противоинфекционных мероприятий</t>
  </si>
  <si>
    <t>Задача "Повышение качества, оперативности и обеспечение стабильности и регулярности информирования населения Удомельского городского округа о деятельности органов государственной власти Тверской области, местного самоуправления Удомельского городского округа в печатных изданиях"</t>
  </si>
  <si>
    <t>04201S0320</t>
  </si>
  <si>
    <t xml:space="preserve">Предоставление субсидии из областного бюджета на поддержку некоммерческих организаций </t>
  </si>
  <si>
    <t>04201S0490</t>
  </si>
  <si>
    <t>Предоставление субсидий на развитие материально-технической базы редакций районных и городских газет</t>
  </si>
  <si>
    <t xml:space="preserve">Подпрограмма "Предоставление субсидий муниципальным унитарным предприятиям на возмещение нормативных затрат, связанных с оказанием ими услуг, юридическим лицам (за исключением субсидий государственным (муниципальным) учреждениям), индивидуальным предпринимателям,физическим лицам, оказывающим услуги для граждан" </t>
  </si>
  <si>
    <t>Другие вопросы в области жилищно-коммунального хозяйства</t>
  </si>
  <si>
    <t>Предоставление субсидий юридическим лицам (за исключением субсидий государственным (муниципальным) учреждениям), индивидуальным предпринимателям,физическим лицам, оказывающим  услуги туалета общественного пользования  в городе Удомля</t>
  </si>
  <si>
    <t>0510123251</t>
  </si>
  <si>
    <t>0510223252</t>
  </si>
  <si>
    <t>0520123263</t>
  </si>
  <si>
    <t>Разработка проектно-сметной документации</t>
  </si>
  <si>
    <t>Задача "Переселение граждан из  аварийного жилищного фонда"</t>
  </si>
  <si>
    <t>Приобретение жилых помещений для предоставления гражданам, по договорам социального найма,проживающим в аварийном жилищном фонде</t>
  </si>
  <si>
    <t>0520223266</t>
  </si>
  <si>
    <t>Задача "Проведение капитального ремонта общего имущества в многоквартирных домах на территории Удомельского городского округа"</t>
  </si>
  <si>
    <t>Проведение капитального ремонта общего имущества в многоквартирных домах на территории Удомельского городского округа</t>
  </si>
  <si>
    <t>0610123075</t>
  </si>
  <si>
    <t>Задача  "Обеспечение снижения негативного воздействия от несанкционированного размещения твердых коммунальных отходов на окружающую среду"</t>
  </si>
  <si>
    <t>Подпрограмма "Организация мероприятий по охране окружающей среды в границах Удомельского городского округа"</t>
  </si>
  <si>
    <t>0710123351</t>
  </si>
  <si>
    <t>0710223352</t>
  </si>
  <si>
    <t>0710200000</t>
  </si>
  <si>
    <t>0720100000</t>
  </si>
  <si>
    <t>0720123361</t>
  </si>
  <si>
    <t>Выполнение работ по разработке проектно-сметной документации</t>
  </si>
  <si>
    <t>0720123362</t>
  </si>
  <si>
    <t>07202S0700</t>
  </si>
  <si>
    <t>0720200000</t>
  </si>
  <si>
    <t>Подпрограмма "Организация коммунального хозяйства Удомельского городского округа"</t>
  </si>
  <si>
    <t>Развитие, модернизация и капитальный ремонт объектов коммунальной инфраструктуры</t>
  </si>
  <si>
    <t>0730123371</t>
  </si>
  <si>
    <t>0730223372</t>
  </si>
  <si>
    <t>Подпрограмма "Реализация Генерального плана и Правил землепользования и застройки  на территории Удомельского городского округа "</t>
  </si>
  <si>
    <t>Задача "Внесение в ЕГРН сведений о границах населенных пунктов и территориальных зон на основании Генерального плана и Правил землепользования и застройки на территории Удомельского городского округа"</t>
  </si>
  <si>
    <t>0810123101</t>
  </si>
  <si>
    <t>Разработка материалов по описанию границ функциональных зон Ж-1; Ж-3; О-1; О-2; О-3 на  территории Удомельского городского округа на основании Правил землепользования и застройки  Удомельского городского округа</t>
  </si>
  <si>
    <t>0910111020</t>
  </si>
  <si>
    <t>0910111050</t>
  </si>
  <si>
    <t>Финансовое обеспечение мероприятий по поддержке  педагогогов- молодых специалистам</t>
  </si>
  <si>
    <t>Приобретение свидетельств, карт маршрутов на транспортные средства по регулярным и нерегулируемым маршрутам перевозок на территории Удомельского городского округа</t>
  </si>
  <si>
    <t>1010123081</t>
  </si>
  <si>
    <t>1020000000</t>
  </si>
  <si>
    <t>1020100000</t>
  </si>
  <si>
    <t xml:space="preserve">Обеспечение первичных мер пожарной безопасности на территории Удомельского городского округа </t>
  </si>
  <si>
    <t>Содержание и благоустройство видовых и памятных мест  Удомельского городского округа</t>
  </si>
  <si>
    <t>Задача "Определение потребности в обустройстве новых мест захоронения на территории города Удомля"</t>
  </si>
  <si>
    <t>1220200000</t>
  </si>
  <si>
    <t>1230123540</t>
  </si>
  <si>
    <t>1230123545</t>
  </si>
  <si>
    <t>1240000000</t>
  </si>
  <si>
    <t>Подпрограмма "Энергосбережение и повышение энергетической эффективности территории Удомельского городского округа"</t>
  </si>
  <si>
    <t>1240300000</t>
  </si>
  <si>
    <t>1240323580</t>
  </si>
  <si>
    <t>Обеспечение уличного освещения  на территории Удомельского городского округа</t>
  </si>
  <si>
    <t>1320100000</t>
  </si>
  <si>
    <t>161R300000</t>
  </si>
  <si>
    <t>Задача "Реализация  проекта "Безопасность дорожного движения" в рамках национального проекта "Безопасные и качественные автомобильные дороги"</t>
  </si>
  <si>
    <t>1610123145</t>
  </si>
  <si>
    <t>1610123155</t>
  </si>
  <si>
    <t>1610123160</t>
  </si>
  <si>
    <t>1610123165</t>
  </si>
  <si>
    <t>9940026300</t>
  </si>
  <si>
    <t>9950022600</t>
  </si>
  <si>
    <t>9950022700</t>
  </si>
  <si>
    <t xml:space="preserve"> Расходы на обеспечение деятельности муниципального казенного учреждения "Управление административно-хозяйственного обеспечения"</t>
  </si>
  <si>
    <t>9950022800</t>
  </si>
  <si>
    <t>Расходы на обеспечение деятельности муниципального казенного учреждения  "Управление по делам гражданской обороны и чрезвычайным ситуациям УГО"</t>
  </si>
  <si>
    <t>1500000000</t>
  </si>
  <si>
    <t>Задача "Благоустройство территории Удомельского городского округа в рамках реализации программы поддержки местных инициатив"</t>
  </si>
  <si>
    <t>0610123080</t>
  </si>
  <si>
    <t>Организация видео-фото наблюдения на территории Удомельского  городского округа</t>
  </si>
  <si>
    <t>Разработка материалов по описанию границ населенных пуктов на основании Генерального плана Удомельского городского округа</t>
  </si>
  <si>
    <t>Подпрограмма "Реализация Генерального плана и Правил землепользования и застройки  на территории Удомельского городского округа"</t>
  </si>
  <si>
    <t>Подпрограмма "Организация газоснабжения северной части города Удомля "</t>
  </si>
  <si>
    <t>0710223353</t>
  </si>
  <si>
    <t>Экспертиза промышленной безопасности технического устройства газового оборудования</t>
  </si>
  <si>
    <t>Подпрограмма "Организация газоснабжения северной части города Удомля"</t>
  </si>
  <si>
    <t>0120421600</t>
  </si>
  <si>
    <t>Финансовое обеспечение бесплатным питанием обучающихся с ограниченными возможностями здоровья в муниципальных общеобразовательных учреждениях</t>
  </si>
  <si>
    <t>0140121270</t>
  </si>
  <si>
    <t>0140221280</t>
  </si>
  <si>
    <t>0140221300</t>
  </si>
  <si>
    <t>0120423005</t>
  </si>
  <si>
    <t>0140123010</t>
  </si>
  <si>
    <t>0140123015</t>
  </si>
  <si>
    <t>0130321250</t>
  </si>
  <si>
    <t>Подпрограмма "Развитие системы начального общего, основного общего и среднего общего образования"</t>
  </si>
  <si>
    <t>Задача "Приобретение жилых помещений для детей-сирот, детей оставшихся без попечения родителей, лиц из их числа для обеспечения их жилыми помещениями по договорам найма специализированных жилых помещений"</t>
  </si>
  <si>
    <t>Организация транспортного обслуживания населения на муниципальных маршрутах регулярных перевозок сверх минимальных социальных требований, установленных Правительством Тверской области</t>
  </si>
  <si>
    <t xml:space="preserve"> Приложение 3</t>
  </si>
  <si>
    <t xml:space="preserve"> Приложение 4</t>
  </si>
  <si>
    <t xml:space="preserve"> Приложение 5</t>
  </si>
  <si>
    <t>к решению Удомельской городской</t>
  </si>
  <si>
    <t>Расходы на реализацию предложений по обращениям, поступающим к депутатам Удомельской городской Думы</t>
  </si>
  <si>
    <t>9940026900</t>
  </si>
  <si>
    <t>9940021900</t>
  </si>
  <si>
    <t>Оснащение автобусов, осуществляющих подвоз  обучающихся и воспитанников муниципальных учреждений, необходимыми техническими средствами</t>
  </si>
  <si>
    <t xml:space="preserve"> Расходы на реализацию предложений по обращениям, поступающим к депутатам Удомельской городской Думы бюджетных учреждений</t>
  </si>
  <si>
    <t>Муниципальная программа муниципального образования Удомельский городской округ «Развитие образования Удомельского городского округа на 2022 - 2027 годы»</t>
  </si>
  <si>
    <t>Муниципальная программа муниципального образования Удомельский городской округ «Развитие культуры, спорта и молодежной политики Удомельского городского округа на 2022 - 2027 годы»</t>
  </si>
  <si>
    <t>Муниципальная программа муниципального образования Удомельский городской округ «Улучшение экологической обстановки Удомельского городского округа на 2022 - 2027 годы»</t>
  </si>
  <si>
    <t>Муниципальная программа муниципального образования Удомельский городской округ «Управление жилищным фондом Удомельского городского округа на 2022 - 2027 годы»</t>
  </si>
  <si>
    <t>Муниципальная программа муниципального образования Удомельский городской округ «Создание условий для экономического развития Удомельского городского округа на 2022 - 2027 годы»</t>
  </si>
  <si>
    <t>Муниципальная программа муниципального образования Удомельский городской округ «Управление имуществом и земельными ресурсами Удомельского городского округа на 2022 - 2027 годы»</t>
  </si>
  <si>
    <t>Муниципальная программа муниципального образования Удомельский городской округ «Комплекс мероприятий по организации коммунального и газового хозяйства Удомельского городского округа на 2022 - 2027 годы»</t>
  </si>
  <si>
    <t>Задача "Строительство  инженерных систем округа"</t>
  </si>
  <si>
    <t>Проведение капитального ремонта объектов теплоэнергетических комплексов за счет средств местного бюджета</t>
  </si>
  <si>
    <t>Муниципальная программа муниципального образования Удомельский городской округ «Территориальное планирование Удомельского городского округа на 2022 - 2027 годы»</t>
  </si>
  <si>
    <t>Муниципальная программа муниципального образования Удомельский городской округ «Развитие транспортного комплекса и дорожного хозяйства на территории Удомельского городского округа на 2022 - 2027 годы»</t>
  </si>
  <si>
    <t>Муниципальная программа муниципального образования Удомельский городской округ «Профилактика правонарушений на территории Удомельского городского округа на 2022 - 2027 годы»</t>
  </si>
  <si>
    <t>Муниципальная программа муниципального образования Удомельский городской округ «Обеспечение безопасности жизнедеятельности населения Удомельского городского округа на 2022 - 2027 годы»</t>
  </si>
  <si>
    <t>Муниципальная программа муниципального образования Удомельский городской округ «Содержание и благоустройство территории Удомельского городского округа на 2022 - 2027 годы»</t>
  </si>
  <si>
    <t>Муниципальная программа муниципального образования Удомельский городской округ «Социальная политика, поддержка и защита населения Удомельского городского округа на 2022 - 2027 годы»</t>
  </si>
  <si>
    <t>Муниципальная программа муниципального образования Удомельский городской округ «Формирование комфортной городской среды на территории Удомельского городского округа на 2018 - 2024 годы»</t>
  </si>
  <si>
    <t>Муниципальная программа муниципального образования Удомельский городской округ «Поддержка муниципальных инициатив и участия населения в осуществлении местного самоуправления на территории муниципального образования Удомельский городской округ на 2022 - 2027 годы»</t>
  </si>
  <si>
    <t>Муниципальная программа муниципального образования Удомельский городской округ «Повышение безопасности дорожного движения на территории Удомельского городского округа на 2022 - 2027 годы»</t>
  </si>
  <si>
    <t>Центральный аппарат Удомельской городской Думы</t>
  </si>
  <si>
    <t>2025 год</t>
  </si>
  <si>
    <t>Предоставление субсидий юридическим лицам (за исключением субсидий государственным (муниципальным)учреждениям), индивидуальным предпринимателям, физическим лицам, оказывающим банно-прачечные услуги для отдельной  категорий граждан в городе Удомля</t>
  </si>
  <si>
    <t xml:space="preserve"> Привлечение субъектов малого и среднего предпринимательства  и самозанятых к участию в выставках, ярмарках, конкурсах, мероприятиях, проводимых на территории Удомельского городского округа</t>
  </si>
  <si>
    <t>Проведение мероприятий, приуроченных к Дню предпринимателя в Удомельском городском округе</t>
  </si>
  <si>
    <t>Предоставление гранта в форме субсидии индивидуальным предпинимателям и самозанятым на создание или развитие собственного дела</t>
  </si>
  <si>
    <t>Предоставление субсидий субъектам малого и среднего предпринимательства - сельскохозяйственным кооперативам и крестьянским (фермерским) хозяйствам на возмещение затрат за коммунальные услуги в сфере водоснабжения</t>
  </si>
  <si>
    <t>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 оказывающим услуги по доставке питьевой воды населению города Удомля, не обеспеченному централизованным водоснабжением</t>
  </si>
  <si>
    <t>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 осуществляющим регулируемую деятельность в сфере водоснабжения потребителей сельских населенных пунктов Удомельского городского округа</t>
  </si>
  <si>
    <t>Паспортизация автомобильных дорог</t>
  </si>
  <si>
    <t xml:space="preserve">Ликвидация несанкционированных мест размещения твердых коммунальных отходов </t>
  </si>
  <si>
    <t>Обслуживание государственного (муниципального) долга</t>
  </si>
  <si>
    <t>Обслуживание государственного (муниципального) внутреннего долга</t>
  </si>
  <si>
    <t>Процентные платежи по муниципальному долгу</t>
  </si>
  <si>
    <t>730</t>
  </si>
  <si>
    <t>Обслуживание муниципального долга</t>
  </si>
  <si>
    <t>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 осуществляющим содержание  объектов канализационных очистных сооружений 3 очереди</t>
  </si>
  <si>
    <t>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 оказывающим услуги  холодного водоснабжения потребителям сельских населенных пунктов Удомельского городского округа, на реализацию мероприятий, направленных на улучшение качества оказания услуги холодного водоснабжения в сельских населенных пунктах</t>
  </si>
  <si>
    <t>Задача "Содержание и озеленение территории  Удомельского городского округа"</t>
  </si>
  <si>
    <t>Подпрограмма "Улучшение состояния и содержание территории  Удомельского городского округа"</t>
  </si>
  <si>
    <t>0120221240</t>
  </si>
  <si>
    <t xml:space="preserve">Финансовое обеспечение мероприятий по укреплению материально-технической базы общеобразовательных учреждений </t>
  </si>
  <si>
    <t>0120500000</t>
  </si>
  <si>
    <t>Задача «Реализация проектов в рамках программы поддержки школьных инициатив»</t>
  </si>
  <si>
    <t>1030000000</t>
  </si>
  <si>
    <t>Изготовление буклетов, баннеров по профилактике безнадзорности и правонарушений несовершеннолетних</t>
  </si>
  <si>
    <t>Задача "Работа по формированию здорового образа жизни у несовершеннолетних"</t>
  </si>
  <si>
    <t>000 01 03 00 00 00 0000 000</t>
  </si>
  <si>
    <t>000 01 05 02 01 04 0000 510</t>
  </si>
  <si>
    <t>000 01 05 02 01 04 0000 610</t>
  </si>
  <si>
    <t>03202L5990</t>
  </si>
  <si>
    <t>Задача "Обеспечение жильем молодых семей Удомельского городского округа"</t>
  </si>
  <si>
    <t>"О внесении изменений в решение  Удомельской</t>
  </si>
  <si>
    <t>0410223220</t>
  </si>
  <si>
    <t>0410223215</t>
  </si>
  <si>
    <t>0410223210</t>
  </si>
  <si>
    <t>0410327210</t>
  </si>
  <si>
    <t>0410327220</t>
  </si>
  <si>
    <t>0410327230</t>
  </si>
  <si>
    <t>0410327250</t>
  </si>
  <si>
    <t>0410123205</t>
  </si>
  <si>
    <t>1610123185</t>
  </si>
  <si>
    <t>Подпрограмма "Профилактика безнадзорности и павонарушений несовершеннолетних в Удомельском городском округе"</t>
  </si>
  <si>
    <t>340</t>
  </si>
  <si>
    <t>Стипендии</t>
  </si>
  <si>
    <t>Бюджетные кредиты из других бюджетов бюджетной системы  Российской Федерации</t>
  </si>
  <si>
    <t>000 01 03 01 00 00 0000 800</t>
  </si>
  <si>
    <t>Погашение бюджетных кредитов, полученных из других бюджетов бюджетной системы Российской Федерации в валюте Российской Федерации</t>
  </si>
  <si>
    <t>000 01 03 01 00 04 0500 810</t>
  </si>
  <si>
    <t>Погашение бюджетных кредитов, предоставленных городским округам из бюджета субъекта Российской Федерации, за исключением бюджетных кредитов, предоставляемых за счет федерального бюджета для погашения долговых обязательств по кредитам, полученным от кредитных организаций</t>
  </si>
  <si>
    <t>Разработка проектно - сметной документации и осуществление строительного контроля</t>
  </si>
  <si>
    <t>Благоустройство парковой зоны ул. Венецианова</t>
  </si>
  <si>
    <t>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 оказывающим услуги  в городе Удомля на финансовое обеспечение затрат по приобретению специализированной техники в лизинг</t>
  </si>
  <si>
    <t>Подпрограмма "Предоставление субсидий юридическим лицам ( за исключением субсидий государственным (муниципальным) учреждениям), индивидуальным предпринимателям, физическим лицам</t>
  </si>
  <si>
    <t>01204L3041</t>
  </si>
  <si>
    <t>Подготовка проектов межевания земельных участков и проведение кадастровых работ</t>
  </si>
  <si>
    <t>Задача "Социальная поддержка старшего поколения и многодетных семей, имеющих земельные участки"</t>
  </si>
  <si>
    <t>Задача "Обеспечение бесперебойного функционирования объектов коммунального хозяйства территорий Удомельского городского округа"</t>
  </si>
  <si>
    <t>Задача "Обеспечение уличного освещения населенных пунктов, расположенных на территории Удомельского городского округа"</t>
  </si>
  <si>
    <t xml:space="preserve">Организация транспортного обслуживания населения на муниципальных маршрутах регулярных перевозок по регулируемым тарифам </t>
  </si>
  <si>
    <t>Подпрограмма "Содержание, озеленение и благоустройство территории Удомельского городского округа "</t>
  </si>
  <si>
    <t>012EB51790</t>
  </si>
  <si>
    <t>Обеспечение деятельности советников директоров по воспитанию и взаимодействию с детскими общественными объединениями в общеобразовательных организациях</t>
  </si>
  <si>
    <t>Задача "Реализация  проекта "Патриотическое воспитание граждан Российской Федерации" в рамках национального проекта "Образование"</t>
  </si>
  <si>
    <t>Источники финансирования дефицита местного бюджета на 2024 год  и на плановый период 2025 и 2026 годов</t>
  </si>
  <si>
    <t>на 2024 год и на плановый период 2025 и 2026 годов"</t>
  </si>
  <si>
    <t>2026 год</t>
  </si>
  <si>
    <t>Распределение бюджетных ассигнований  местного бюджета по разделам и подразделам классификации расходов бюджета на 2024 год  и на плановый период 2025 и 2026 годов</t>
  </si>
  <si>
    <t xml:space="preserve"> Распределение бюджетных ассигнований местного бюджета  по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бюджета на 2024 год и на плановый период 2025 и 2026 годов</t>
  </si>
  <si>
    <t>Оплата услуг средствам массовой информации  за размещение информации и объявлений о деятельности органов местного самоуправления в радиоэфире</t>
  </si>
  <si>
    <t>Оплата услуг средствам массовой информации за размещение информации и объявлений о деятельности органов местного самоуправления в телевизионном эфире</t>
  </si>
  <si>
    <t>Задача "Повышение качества, оперативности и обеспечение стабильности и регулярности информирования населения Удомельского городского округа о деятельности органов государственной власти Тверской области, местного самоуправления Удомельского городского округа в телевизионном и радиоэфире"</t>
  </si>
  <si>
    <t>Оплата услуг средствам массовой информации за размещение информации и объявлений о деятельности органов местного самоуправления в печатных изданиях</t>
  </si>
  <si>
    <t>Председатель Контрольно-счетной комиссии</t>
  </si>
  <si>
    <t>Разработка материалов по описанию границ функциональных зон П-1; П-2; Т-1; Т-2; Т-3;  на  территории Удомельского городского округа на основании Правил землепользования и застройки Удомельского городского округа</t>
  </si>
  <si>
    <t>141F254240</t>
  </si>
  <si>
    <t>Создание комфортной городской среды в малых городах - победителях Всероссийского конкурса лучших проектов создания комфортной городской среды</t>
  </si>
  <si>
    <t>0410327260</t>
  </si>
  <si>
    <t>Предоставление субсидий субъектам малого и среднего предпринимательства - сельскохозяйственным кооперативам и крестьянским (фермерским) хозяйствам, реализующим молочную продукцию, на возмещение  части затрат на проведение работ по заготовке кормов</t>
  </si>
  <si>
    <t>Организация транспортного обслуживания населения на муниципальном маршруте регулярных перевозок по регулируемому тарифу внутригородского транспорта</t>
  </si>
  <si>
    <t>021А100000</t>
  </si>
  <si>
    <t>Задача "Реализация  проекта "Культурная среда" в рамках национального проекта "Культура"</t>
  </si>
  <si>
    <t>021А155130</t>
  </si>
  <si>
    <t>Развитие сети учреждений культурно-досугового типа</t>
  </si>
  <si>
    <t>Финансовое обеспечение муниципального задания на выполнение работ муниципального бюджетного учреждения в части организации благоустройства и озеленения</t>
  </si>
  <si>
    <t>Поддержка обустройства мест массового отдыха населения (городских парков)</t>
  </si>
  <si>
    <t>1240321100</t>
  </si>
  <si>
    <t>Финансовое обеспечение муниципального задания на выполнение работ муниципального бюджетного учреждения в части содержания (эксплуатации) имущества, находящегося в государственной собственности</t>
  </si>
  <si>
    <t>01205S8000</t>
  </si>
  <si>
    <t>Финансовое обеспечение реализации проекта в рамках Программы поддержки школьных инициатив за счет средств бюджета УГО</t>
  </si>
  <si>
    <t>Обеспечение комплексной безопасности зданий и помещений муниципальных  учреждений в сфере молодежной политики</t>
  </si>
  <si>
    <t>12102S1450</t>
  </si>
  <si>
    <t>Подпрограмма "Содержание, озеленение и благоустройство территории Удомельского городского округа"</t>
  </si>
  <si>
    <t>городской Думы от 19.12.2023  № 192</t>
  </si>
  <si>
    <t xml:space="preserve"> от 19.12.2023 № 192</t>
  </si>
  <si>
    <t>от 19.12.2023  № 192</t>
  </si>
  <si>
    <t xml:space="preserve"> от  19.12.2023  № 192</t>
  </si>
  <si>
    <t xml:space="preserve">Ведомственная структура расходов  местного бюджета  по главным распорядителям бюджетных средств,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на  2024 год и на плановый период 2025 и 2026 годов                                                  </t>
  </si>
  <si>
    <t>Распределение бюджетных ассигнований по целевым статьям  (муниципальным программам и непрограммным направлениям деятельности), 
группам видов расходов, классификации расходов бюджета на 2024 год и на плановый период 2025 и 2026 годов</t>
  </si>
  <si>
    <t>1610123150</t>
  </si>
  <si>
    <t>Разработка проекта организации дорожного движения</t>
  </si>
  <si>
    <t xml:space="preserve"> Приложение 6</t>
  </si>
  <si>
    <t>0420110320</t>
  </si>
  <si>
    <t>012EB00000</t>
  </si>
  <si>
    <t>012E200000</t>
  </si>
  <si>
    <t>Задача "Реализация  проекта "Успех каждого ребенка" в рамках национального проекта "Образование"</t>
  </si>
  <si>
    <t>012E250980</t>
  </si>
  <si>
    <t>13102Д0820</t>
  </si>
  <si>
    <t>0130121120</t>
  </si>
  <si>
    <t>Обеспечение функционирования модели персонифицированного финансирования дополнительного образования</t>
  </si>
  <si>
    <t>1310110290</t>
  </si>
  <si>
    <t>Приобретение жилых помещений для малоимущих многодетных семей за счет средств областного бюджета</t>
  </si>
  <si>
    <t>1230123535</t>
  </si>
  <si>
    <t>Санитарная очистка города (сбор, вывоз, утилизация ТКО и КГМ)</t>
  </si>
  <si>
    <t>0110221220</t>
  </si>
  <si>
    <t>Обеспечение комплексной безопасности зданий и помещений дошкольных образовательных учреждений, находящихся в муниципальной собственности</t>
  </si>
  <si>
    <t xml:space="preserve">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t>
  </si>
  <si>
    <t>Реализация мероприятий по модернизации школьных систем образования за счет средств областного бюджета</t>
  </si>
  <si>
    <t>0220123046</t>
  </si>
  <si>
    <t>Подготовка площадки и установка на ней оборудования</t>
  </si>
  <si>
    <t>Задача "Проведение капитального ремонта (реконструкции) объектов теплоэнергетических комплексов"</t>
  </si>
  <si>
    <t>0720223374</t>
  </si>
  <si>
    <t>Строительство и (или) реконструкция сетей теплоснабжения</t>
  </si>
  <si>
    <t>01205S8003</t>
  </si>
  <si>
    <t>01205S8004</t>
  </si>
  <si>
    <t>Финансовое обеспечение реализации проекта  "Обучение с развлечением "Умная механика" в МБОУ УСОШ №1 им.А.С.Попова</t>
  </si>
  <si>
    <t>Предоставление субсидий муниципальным унитарным предприятиям  Удомельского городского округа, предоставляющим услуги теплоснабжения, водоснабжения и водоотведения потребителям сельских населенных  пунктов Удомельского городского округа в целях реализации мер по предупреждению банкротства</t>
  </si>
  <si>
    <t>Приобретение оборудования и техники для нужд муниципального бюджетного учреждения</t>
  </si>
  <si>
    <t>0210400000</t>
  </si>
  <si>
    <t>Задача "Укрепление и модернизация материально-технической базы муниципальных учреждений дополнительного образования в сфере культуры и искусства Удомельского городского округа"</t>
  </si>
  <si>
    <t>0210421220</t>
  </si>
  <si>
    <t>Обеспечение комплексной безопасности зданий и помещений муниципальных  учреждений дополнительного образования в сфере культуры и искусства</t>
  </si>
  <si>
    <t>0210321210</t>
  </si>
  <si>
    <t>Финансовое обеспечение мероприятий капитального и (или) текущего ремонтов муниципальных  учреждений культуры</t>
  </si>
  <si>
    <t>Установка остановочных комплексов</t>
  </si>
  <si>
    <t>Выполнение работ по разработке проектно-сметной документации на реконструкцию и ремонт автомобильных дорог, дворовых территорий многоквартирных домов, проездов к дворовым территориям, в т.ч. парковок и проведение лабораторных исследований</t>
  </si>
  <si>
    <t>Реализация мероприятий по модернизации школьных систем образования</t>
  </si>
  <si>
    <t>Укрепление материально-технической базы общеобразовательных учреждений за счет средств областного бюджета</t>
  </si>
  <si>
    <t>Реализация мероприятий по модернизации школьных систем образования за счет средств  бюджета округа</t>
  </si>
  <si>
    <t>15103S9000</t>
  </si>
  <si>
    <t>Расходы на реализацию программ по поддержке местных инициатив  за счет средств местного бюджета, поступлений от юридических лиц и вкладов граждан</t>
  </si>
  <si>
    <t>0310210440</t>
  </si>
  <si>
    <t>03102S0440</t>
  </si>
  <si>
    <t>03102L7500</t>
  </si>
  <si>
    <t>03102A7500</t>
  </si>
  <si>
    <t>03102S7500</t>
  </si>
  <si>
    <t>Задача "Обеспечение доступности  транспортных услуг в общеобразовательных учреждениях в части  подвоза обучающихся к месту обучения и обратно"</t>
  </si>
  <si>
    <t>Задача "Создание условий для непрерывного развития кадрового потенциала отрасли "Образование"</t>
  </si>
  <si>
    <t>Задача "Создание условий для воспитания гармонично развитой  и социально ориентированной личности"</t>
  </si>
  <si>
    <t>Финансовое обеспечение проведения муниципальных мероприятий с одаренными и высокомотивированными обучающимися, воспитанниками, организация их участия в региональных, всероссийских мероприятиях</t>
  </si>
  <si>
    <t>0120518003</t>
  </si>
  <si>
    <t>0120518004</t>
  </si>
  <si>
    <t>0120211460</t>
  </si>
  <si>
    <t>Укрепление материально-технической базы в целях осуществления мероприятий по работе с детьми и молодежью, в том числе гражданско-патриотическому воспитанию</t>
  </si>
  <si>
    <t>Финансовое обеспечение реализации проекта  "Арт-вдохновение" в МБОУ УСОШ №4</t>
  </si>
  <si>
    <t>02101L5199</t>
  </si>
  <si>
    <t>Государственная поддержка отрасли культуры (модернизация библиотек в части комплектования книжных фондов библиотек муниципальных образований и государственных общедоступных библиотек Тверской области)</t>
  </si>
  <si>
    <t>Озеленение видовых и памятных мест на территории города, в том числе приобретение, посадка цветов, уход за ними, покос травы, стрижка кустов и спиливание деревьев</t>
  </si>
  <si>
    <t>01201R3031</t>
  </si>
  <si>
    <t>830</t>
  </si>
  <si>
    <t>Исполнение судебных актов</t>
  </si>
  <si>
    <t>0140410920</t>
  </si>
  <si>
    <t>Средства депутатов Законодательного Собрания Тверской области на финансовое обеспечение информационного сопровождения развития образования</t>
  </si>
  <si>
    <t>0140400000</t>
  </si>
  <si>
    <t>Задача "Система информирования граждан в сфере образования"</t>
  </si>
  <si>
    <t>Средства депутатов Законодательного Собрания Тверской области учреждениям культуры</t>
  </si>
  <si>
    <t>0210610920</t>
  </si>
  <si>
    <t>Средства депутатов Законодательного Собрания Тверской области</t>
  </si>
  <si>
    <t>0210310920</t>
  </si>
  <si>
    <t>0320223201</t>
  </si>
  <si>
    <t>Подготовка проектов межевания земельных участков и проведение кадастровых работ на землях сельскохозяйственного назначения в целях создания условий для развития сельскохозяйственного производства за счет бюджета округа</t>
  </si>
  <si>
    <t>Предоставление собственникам жилых помещений в аварийном жилищном фонде возмещения за жилое помещение</t>
  </si>
  <si>
    <t>Подпрограмма «Реализация мероприятий поддержки общественных и гражданских инициатив  на территории Удомельского городского округа»</t>
  </si>
  <si>
    <t>Ремонт Обелиска Победы воинам-удомельцам, погибшим в Великую Отечественную Войну, расположенный пр.Энергетиков, г.Удомля</t>
  </si>
  <si>
    <t xml:space="preserve"> Финансовое обеспечение мероприятий по укреплению материально-технической базы муниципальных общеобразовательных учреждений</t>
  </si>
  <si>
    <t>Финансовое обеспечение мероприятий по укреплению материально-технической базы муниципальных общеобразовательных учреждений</t>
  </si>
  <si>
    <t>Содержание и ремонт детских и спортивных площадок</t>
  </si>
  <si>
    <t>1240323585</t>
  </si>
  <si>
    <t xml:space="preserve"> Содержание сетей уличного освещения</t>
  </si>
  <si>
    <t>Задача "Восстановление и обустройство воинских захоронений и военно-мемориальных объектов"</t>
  </si>
  <si>
    <t>244</t>
  </si>
  <si>
    <t>1210300000</t>
  </si>
  <si>
    <t>Задача "Увековечение памяти погибших при защите Отечества"</t>
  </si>
  <si>
    <t>1210310280</t>
  </si>
  <si>
    <t>Проведение работ по восстановлению воинских захоронений</t>
  </si>
  <si>
    <t>12103S0280</t>
  </si>
  <si>
    <t xml:space="preserve">Укрепление материально-технической базы учреждений </t>
  </si>
  <si>
    <t>0310223179</t>
  </si>
  <si>
    <t>0120421650</t>
  </si>
  <si>
    <t xml:space="preserve">Финансовое обеспечение бесплатным питанием  детей участников специальной военной  операции,обучающихся  в муниципальных общеобразовательных учреждениях </t>
  </si>
  <si>
    <t>Приложение 7</t>
  </si>
  <si>
    <t>к решению Удомельского городской Думы</t>
  </si>
  <si>
    <t xml:space="preserve">"О бюджете Удомельского городского округа </t>
  </si>
  <si>
    <t>на 2024 год и плановый период 2025 и 2026 годов"</t>
  </si>
  <si>
    <t xml:space="preserve">     Общий объем бюджетных ассигнований, направляемых на исполнение публичных нормативных обязательств  Удомельского городского округа на 2024 год и на плановый период 2025 и 2026 годов</t>
  </si>
  <si>
    <t>Наименование публичного нормативного обязательства</t>
  </si>
  <si>
    <t>Код строки</t>
  </si>
  <si>
    <t>Реквизиты нормативного правового акта</t>
  </si>
  <si>
    <t>Наименование</t>
  </si>
  <si>
    <t>Код расходов                       по БК</t>
  </si>
  <si>
    <t>Вид</t>
  </si>
  <si>
    <t>Дата</t>
  </si>
  <si>
    <t>Номер</t>
  </si>
  <si>
    <t>РП</t>
  </si>
  <si>
    <t>ЦСР</t>
  </si>
  <si>
    <t>1.Публичные нормативные обязательства, исполняемые за счет средств областного бюджета</t>
  </si>
  <si>
    <t>Закон Тверской области</t>
  </si>
  <si>
    <t>82-ЗО</t>
  </si>
  <si>
    <t>"О компенсации расходов на оплату жилых помещений, отопления и освещения педагогическим работникам, проживающим и работающим в сельских населенных пунктах, рабочих поселках (поселках городского типа)"</t>
  </si>
  <si>
    <t>10 03</t>
  </si>
  <si>
    <t>2.Публичные нормативные обязательства, исполняемые за счет средств  бюджета Удомельского городского округа</t>
  </si>
  <si>
    <t>Решение  Удомельской городской Думы</t>
  </si>
  <si>
    <t>"Об утверждении Положения о муниципальной службе муниципального образования Удомельский городской округ"</t>
  </si>
  <si>
    <t>10 01</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</si>
  <si>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t>
  </si>
  <si>
    <t>01201L0501</t>
  </si>
  <si>
    <t>Защита имущественных прав и законных интересов муниципального образования Удомельский городской округ, правовое сопровождение деятельности Администрации Удомельского городского округа</t>
  </si>
  <si>
    <t>03102S1040</t>
  </si>
  <si>
    <t xml:space="preserve"> Финансовое обеспечение мероприятий по укреплению материально-технической базы муниципальных дошкольных образовательных учреждений</t>
  </si>
  <si>
    <t>0110111390</t>
  </si>
  <si>
    <t>Единовременная выплата к началу нового учебного года работникам муниципальных бюджетных дошкольных образовательных учреждений</t>
  </si>
  <si>
    <t>01101S1390</t>
  </si>
  <si>
    <t>Единовременная выплата к началу нового учебного года работникам муниципальных бюджетных дошкольных образовательных учреждений за счет средств бюджета округа</t>
  </si>
  <si>
    <t>0120111390</t>
  </si>
  <si>
    <t>Единовременная выплата к началу нового учебного года работникам муниципальных бюджетных общеобразовательных учреждений</t>
  </si>
  <si>
    <t>01201S1390</t>
  </si>
  <si>
    <t>Единовременная выплата к началу нового учебного года работникам муниципальных бюджетных общеобразовательных учреждений за счет средств бюджета округа</t>
  </si>
  <si>
    <t>0130111390</t>
  </si>
  <si>
    <t>Единовременная выплата к началу нового учебного года работникам муниципальных бюджетных учреждений дополнительного образования</t>
  </si>
  <si>
    <t>01301S1390</t>
  </si>
  <si>
    <t>Единовременная выплата к началу нового учебного года работникам муниципальных бюджетных учреждений дополнительного образования за счет средств бюджета округа</t>
  </si>
  <si>
    <t>Единовременная выплата к началу нового учебного года работникам муниципальных бюджетных учреждений дополнительного образования в сфере культуры</t>
  </si>
  <si>
    <t>02102S1390</t>
  </si>
  <si>
    <t>Единовременная выплата к началу нового учебного года работникам муниципальных бюджетных учреждений дополнительного образования в сфере культуры. за счет средств бюджета округа</t>
  </si>
  <si>
    <t>01102S1350</t>
  </si>
  <si>
    <t>Оснащение муниципальных образовательных организаций,реализующих программы дошкольного образования, уличными игровыми комплексами</t>
  </si>
  <si>
    <t>0110211350</t>
  </si>
  <si>
    <t>0310211040</t>
  </si>
  <si>
    <t xml:space="preserve">Думы от 24.10.2024   №226 </t>
  </si>
  <si>
    <t xml:space="preserve">Думы от 24.10.2024  №226 </t>
  </si>
  <si>
    <t xml:space="preserve">Думы от   24.10.2024№226 </t>
  </si>
  <si>
    <t>Думы от 24.10.2024   № 226</t>
  </si>
  <si>
    <t>от   24.10.2024   №226</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</si>
</sst>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000000"/>
    <numFmt numFmtId="166" formatCode="#,##0.0"/>
  </numFmts>
  <fonts count="49" x14ac:knownFonts="1">
    <font>
      <sz val="10"/>
      <name val="Arial Cyr"/>
      <charset val="204"/>
    </font>
    <font>
      <sz val="10"/>
      <name val="Arial Cyr"/>
      <charset val="204"/>
    </font>
    <font>
      <sz val="8"/>
      <name val="Arial Cyr"/>
      <charset val="204"/>
    </font>
    <font>
      <b/>
      <sz val="10"/>
      <name val="Arial Cyr"/>
      <charset val="204"/>
    </font>
    <font>
      <b/>
      <sz val="12"/>
      <name val="Arial Cyr"/>
      <charset val="204"/>
    </font>
    <font>
      <sz val="12"/>
      <name val="Arial Cyr"/>
      <charset val="204"/>
    </font>
    <font>
      <b/>
      <sz val="14"/>
      <name val="Arial Cyr"/>
      <charset val="204"/>
    </font>
    <font>
      <sz val="14"/>
      <name val="Arial Cyr"/>
      <charset val="204"/>
    </font>
    <font>
      <sz val="11"/>
      <name val="Arial Cyr"/>
      <charset val="204"/>
    </font>
    <font>
      <b/>
      <sz val="11"/>
      <name val="Arial Cyr"/>
      <charset val="204"/>
    </font>
    <font>
      <sz val="11"/>
      <name val="Bookman Old Style"/>
      <family val="1"/>
      <charset val="204"/>
    </font>
    <font>
      <sz val="10"/>
      <name val="Arial"/>
      <family val="2"/>
      <charset val="204"/>
    </font>
    <font>
      <b/>
      <sz val="9"/>
      <name val="Arial Cyr"/>
      <charset val="204"/>
    </font>
    <font>
      <sz val="9"/>
      <name val="Arial Cyr"/>
      <charset val="204"/>
    </font>
    <font>
      <i/>
      <sz val="10"/>
      <name val="Arial Cyr"/>
      <charset val="204"/>
    </font>
    <font>
      <i/>
      <sz val="9"/>
      <name val="Arial Cyr"/>
      <charset val="204"/>
    </font>
    <font>
      <i/>
      <sz val="11"/>
      <name val="Arial"/>
      <family val="2"/>
      <charset val="204"/>
    </font>
    <font>
      <i/>
      <sz val="11"/>
      <name val="Bookman Old Style"/>
      <family val="1"/>
      <charset val="204"/>
    </font>
    <font>
      <i/>
      <sz val="11"/>
      <name val="Arial Cyr"/>
      <charset val="204"/>
    </font>
    <font>
      <b/>
      <i/>
      <sz val="11"/>
      <name val="Arial Cyr"/>
      <charset val="204"/>
    </font>
    <font>
      <b/>
      <i/>
      <sz val="10"/>
      <name val="Arial Cyr"/>
      <charset val="204"/>
    </font>
    <font>
      <b/>
      <i/>
      <sz val="11"/>
      <name val="Bookman Old Style"/>
      <family val="1"/>
      <charset val="204"/>
    </font>
    <font>
      <i/>
      <sz val="10"/>
      <name val="Arial"/>
      <family val="2"/>
      <charset val="204"/>
    </font>
    <font>
      <b/>
      <i/>
      <sz val="11"/>
      <name val="Arial"/>
      <family val="2"/>
      <charset val="204"/>
    </font>
    <font>
      <b/>
      <sz val="13"/>
      <name val="Arial Cyr"/>
      <charset val="204"/>
    </font>
    <font>
      <sz val="10"/>
      <color indexed="8"/>
      <name val="Arial"/>
      <family val="2"/>
      <charset val="204"/>
    </font>
    <font>
      <b/>
      <sz val="18"/>
      <color indexed="56"/>
      <name val="Cambria"/>
      <family val="2"/>
      <charset val="204"/>
    </font>
    <font>
      <i/>
      <sz val="10"/>
      <color indexed="8"/>
      <name val="Arial"/>
      <family val="2"/>
      <charset val="204"/>
    </font>
    <font>
      <b/>
      <i/>
      <sz val="10"/>
      <name val="Arial"/>
      <family val="2"/>
      <charset val="204"/>
    </font>
    <font>
      <b/>
      <sz val="10"/>
      <name val="Arial"/>
      <family val="2"/>
      <charset val="204"/>
    </font>
    <font>
      <b/>
      <sz val="10"/>
      <color indexed="8"/>
      <name val="Arial"/>
      <family val="2"/>
      <charset val="204"/>
    </font>
    <font>
      <b/>
      <sz val="11"/>
      <name val="Arial"/>
      <family val="2"/>
      <charset val="204"/>
    </font>
    <font>
      <i/>
      <sz val="9"/>
      <name val="Arial"/>
      <family val="2"/>
      <charset val="204"/>
    </font>
    <font>
      <sz val="9"/>
      <name val="Bookman Old Style"/>
      <family val="1"/>
      <charset val="204"/>
    </font>
    <font>
      <sz val="10"/>
      <color indexed="8"/>
      <name val="Arial"/>
      <family val="2"/>
    </font>
    <font>
      <i/>
      <sz val="10"/>
      <name val="Times New Roman"/>
      <family val="1"/>
      <charset val="204"/>
    </font>
    <font>
      <b/>
      <sz val="10"/>
      <name val="Times New Roman"/>
      <family val="1"/>
      <charset val="204"/>
    </font>
    <font>
      <sz val="10"/>
      <color indexed="64"/>
      <name val="Arial"/>
      <family val="2"/>
      <charset val="204"/>
    </font>
    <font>
      <sz val="9"/>
      <name val="Arial"/>
      <family val="2"/>
      <charset val="204"/>
    </font>
    <font>
      <sz val="10"/>
      <color rgb="FF000000"/>
      <name val="Arial"/>
      <family val="2"/>
      <charset val="204"/>
    </font>
    <font>
      <sz val="10"/>
      <color rgb="FF000000"/>
      <name val="Arial Cyr"/>
    </font>
    <font>
      <sz val="11"/>
      <color rgb="FF000000"/>
      <name val="Times New Roman"/>
      <family val="1"/>
      <charset val="204"/>
    </font>
    <font>
      <sz val="10"/>
      <color theme="1" tint="4.9989318521683403E-2"/>
      <name val="Arial Cyr"/>
      <charset val="204"/>
    </font>
    <font>
      <b/>
      <sz val="10"/>
      <color rgb="FF000000"/>
      <name val="Arial CYR"/>
    </font>
    <font>
      <i/>
      <sz val="10"/>
      <color rgb="FF000000"/>
      <name val="Arial Cyr"/>
      <charset val="204"/>
    </font>
    <font>
      <b/>
      <sz val="10"/>
      <color theme="1"/>
      <name val="Arial"/>
      <family val="2"/>
      <charset val="204"/>
    </font>
    <font>
      <sz val="12"/>
      <name val="Times New Roman"/>
      <family val="1"/>
      <charset val="204"/>
    </font>
    <font>
      <b/>
      <i/>
      <sz val="9"/>
      <name val="Arial Cyr"/>
      <charset val="204"/>
    </font>
    <font>
      <sz val="10"/>
      <color rgb="FF1A1A1A"/>
      <name val="Arial"/>
      <family val="2"/>
      <charset val="204"/>
    </font>
  </fonts>
  <fills count="3">
    <fill>
      <patternFill patternType="none"/>
    </fill>
    <fill>
      <patternFill patternType="gray125"/>
    </fill>
    <fill>
      <patternFill patternType="solid">
        <fgColor theme="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indexed="8"/>
      </left>
      <right style="thin">
        <color indexed="8"/>
      </right>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34" fillId="0" borderId="0"/>
    <xf numFmtId="0" fontId="26" fillId="0" borderId="0" applyNumberFormat="0" applyFill="0" applyBorder="0" applyAlignment="0" applyProtection="0"/>
    <xf numFmtId="0" fontId="34" fillId="0" borderId="0"/>
    <xf numFmtId="1" fontId="40" fillId="0" borderId="13">
      <alignment horizontal="center" vertical="top" shrinkToFit="1"/>
    </xf>
    <xf numFmtId="0" fontId="43" fillId="0" borderId="13">
      <alignment vertical="top" wrapText="1"/>
    </xf>
    <xf numFmtId="9" fontId="1" fillId="0" borderId="0" applyFont="0" applyFill="0" applyBorder="0" applyAlignment="0" applyProtection="0"/>
  </cellStyleXfs>
  <cellXfs count="273">
    <xf numFmtId="0" fontId="0" fillId="0" borderId="0" xfId="0"/>
    <xf numFmtId="0" fontId="0" fillId="0" borderId="1" xfId="0" applyBorder="1"/>
    <xf numFmtId="0" fontId="2" fillId="0" borderId="1" xfId="0" applyFont="1" applyBorder="1" applyAlignment="1">
      <alignment horizontal="center"/>
    </xf>
    <xf numFmtId="0" fontId="4" fillId="0" borderId="1" xfId="0" applyFont="1" applyBorder="1"/>
    <xf numFmtId="49" fontId="4" fillId="0" borderId="1" xfId="0" applyNumberFormat="1" applyFont="1" applyBorder="1" applyAlignment="1">
      <alignment horizontal="center"/>
    </xf>
    <xf numFmtId="49" fontId="3" fillId="0" borderId="1" xfId="0" applyNumberFormat="1" applyFont="1" applyBorder="1" applyAlignment="1">
      <alignment horizontal="center"/>
    </xf>
    <xf numFmtId="0" fontId="0" fillId="0" borderId="0" xfId="0" applyAlignment="1">
      <alignment horizontal="center"/>
    </xf>
    <xf numFmtId="0" fontId="2" fillId="0" borderId="0" xfId="0" applyFont="1" applyAlignment="1">
      <alignment horizontal="right"/>
    </xf>
    <xf numFmtId="0" fontId="5" fillId="0" borderId="0" xfId="0" applyFont="1"/>
    <xf numFmtId="0" fontId="6" fillId="0" borderId="1" xfId="0" applyFont="1" applyBorder="1"/>
    <xf numFmtId="0" fontId="4" fillId="0" borderId="1" xfId="0" applyFont="1" applyBorder="1" applyAlignment="1">
      <alignment wrapText="1"/>
    </xf>
    <xf numFmtId="49" fontId="5" fillId="0" borderId="1" xfId="0" applyNumberFormat="1" applyFont="1" applyBorder="1" applyAlignment="1">
      <alignment horizontal="center"/>
    </xf>
    <xf numFmtId="0" fontId="7" fillId="0" borderId="1" xfId="0" applyFont="1" applyBorder="1"/>
    <xf numFmtId="0" fontId="5" fillId="0" borderId="1" xfId="0" applyFont="1" applyBorder="1"/>
    <xf numFmtId="0" fontId="6" fillId="0" borderId="1" xfId="0" applyFont="1" applyBorder="1" applyAlignment="1">
      <alignment wrapText="1"/>
    </xf>
    <xf numFmtId="0" fontId="9" fillId="0" borderId="1" xfId="0" applyFont="1" applyBorder="1"/>
    <xf numFmtId="49" fontId="1" fillId="0" borderId="1" xfId="0" applyNumberFormat="1" applyFont="1" applyBorder="1" applyAlignment="1">
      <alignment horizontal="center"/>
    </xf>
    <xf numFmtId="49" fontId="8" fillId="0" borderId="1" xfId="0" applyNumberFormat="1" applyFont="1" applyBorder="1" applyAlignment="1">
      <alignment horizontal="center"/>
    </xf>
    <xf numFmtId="0" fontId="10" fillId="0" borderId="1" xfId="0" applyFont="1" applyBorder="1"/>
    <xf numFmtId="0" fontId="8" fillId="0" borderId="0" xfId="0" applyFont="1"/>
    <xf numFmtId="0" fontId="10" fillId="0" borderId="0" xfId="0" applyFont="1"/>
    <xf numFmtId="49" fontId="11" fillId="0" borderId="1" xfId="0" applyNumberFormat="1" applyFont="1" applyBorder="1" applyAlignment="1">
      <alignment horizontal="center"/>
    </xf>
    <xf numFmtId="0" fontId="1" fillId="0" borderId="1" xfId="0" applyFont="1" applyBorder="1" applyAlignment="1">
      <alignment wrapText="1"/>
    </xf>
    <xf numFmtId="0" fontId="14" fillId="0" borderId="1" xfId="0" applyFont="1" applyBorder="1"/>
    <xf numFmtId="0" fontId="15" fillId="0" borderId="1" xfId="0" applyFont="1" applyBorder="1"/>
    <xf numFmtId="0" fontId="13" fillId="0" borderId="1" xfId="0" applyFont="1" applyBorder="1"/>
    <xf numFmtId="0" fontId="14" fillId="0" borderId="0" xfId="0" applyFont="1"/>
    <xf numFmtId="0" fontId="16" fillId="0" borderId="1" xfId="0" applyFont="1" applyBorder="1"/>
    <xf numFmtId="49" fontId="17" fillId="0" borderId="1" xfId="0" applyNumberFormat="1" applyFont="1" applyBorder="1" applyAlignment="1">
      <alignment horizontal="center"/>
    </xf>
    <xf numFmtId="0" fontId="18" fillId="0" borderId="1" xfId="0" applyFont="1" applyBorder="1"/>
    <xf numFmtId="49" fontId="18" fillId="0" borderId="1" xfId="0" applyNumberFormat="1" applyFont="1" applyBorder="1" applyAlignment="1">
      <alignment horizontal="center"/>
    </xf>
    <xf numFmtId="49" fontId="19" fillId="0" borderId="1" xfId="0" applyNumberFormat="1" applyFont="1" applyBorder="1" applyAlignment="1">
      <alignment horizontal="center"/>
    </xf>
    <xf numFmtId="0" fontId="18" fillId="0" borderId="0" xfId="0" applyFont="1"/>
    <xf numFmtId="49" fontId="20" fillId="0" borderId="1" xfId="0" applyNumberFormat="1" applyFont="1" applyBorder="1" applyAlignment="1">
      <alignment horizontal="center"/>
    </xf>
    <xf numFmtId="49" fontId="21" fillId="0" borderId="1" xfId="0" applyNumberFormat="1" applyFont="1" applyBorder="1" applyAlignment="1">
      <alignment horizontal="center"/>
    </xf>
    <xf numFmtId="49" fontId="16" fillId="0" borderId="1" xfId="0" applyNumberFormat="1" applyFont="1" applyBorder="1" applyAlignment="1">
      <alignment horizontal="center"/>
    </xf>
    <xf numFmtId="0" fontId="22" fillId="0" borderId="0" xfId="0" applyFont="1"/>
    <xf numFmtId="0" fontId="16" fillId="0" borderId="0" xfId="0" applyFont="1"/>
    <xf numFmtId="49" fontId="23" fillId="0" borderId="1" xfId="0" applyNumberFormat="1" applyFont="1" applyBorder="1" applyAlignment="1">
      <alignment horizontal="center"/>
    </xf>
    <xf numFmtId="164" fontId="0" fillId="0" borderId="1" xfId="0" applyNumberFormat="1" applyBorder="1"/>
    <xf numFmtId="164" fontId="18" fillId="0" borderId="1" xfId="0" applyNumberFormat="1" applyFont="1" applyBorder="1"/>
    <xf numFmtId="164" fontId="1" fillId="0" borderId="1" xfId="0" applyNumberFormat="1" applyFont="1" applyBorder="1"/>
    <xf numFmtId="164" fontId="16" fillId="0" borderId="1" xfId="0" applyNumberFormat="1" applyFont="1" applyBorder="1"/>
    <xf numFmtId="164" fontId="17" fillId="0" borderId="1" xfId="0" applyNumberFormat="1" applyFont="1" applyBorder="1"/>
    <xf numFmtId="0" fontId="1" fillId="0" borderId="0" xfId="0" applyFont="1" applyAlignment="1">
      <alignment horizontal="right"/>
    </xf>
    <xf numFmtId="0" fontId="22" fillId="0" borderId="1" xfId="0" applyFont="1" applyBorder="1"/>
    <xf numFmtId="0" fontId="22" fillId="0" borderId="1" xfId="0" applyFont="1" applyBorder="1" applyAlignment="1">
      <alignment wrapText="1"/>
    </xf>
    <xf numFmtId="49" fontId="14" fillId="0" borderId="1" xfId="0" applyNumberFormat="1" applyFont="1" applyBorder="1" applyAlignment="1">
      <alignment horizontal="center"/>
    </xf>
    <xf numFmtId="0" fontId="14" fillId="0" borderId="1" xfId="0" applyFont="1" applyBorder="1" applyAlignment="1">
      <alignment wrapText="1"/>
    </xf>
    <xf numFmtId="0" fontId="9" fillId="0" borderId="1" xfId="0" applyFont="1" applyBorder="1" applyAlignment="1">
      <alignment wrapText="1"/>
    </xf>
    <xf numFmtId="0" fontId="16" fillId="0" borderId="1" xfId="0" applyFont="1" applyBorder="1" applyAlignment="1">
      <alignment wrapText="1"/>
    </xf>
    <xf numFmtId="0" fontId="11" fillId="0" borderId="1" xfId="0" applyFont="1" applyBorder="1"/>
    <xf numFmtId="49" fontId="22" fillId="0" borderId="1" xfId="0" applyNumberFormat="1" applyFont="1" applyBorder="1" applyAlignment="1">
      <alignment horizontal="center"/>
    </xf>
    <xf numFmtId="0" fontId="3" fillId="0" borderId="1" xfId="0" applyFont="1" applyBorder="1" applyAlignment="1">
      <alignment wrapText="1"/>
    </xf>
    <xf numFmtId="0" fontId="25" fillId="0" borderId="0" xfId="0" applyFont="1" applyAlignment="1">
      <alignment horizontal="left" vertical="center" wrapText="1"/>
    </xf>
    <xf numFmtId="0" fontId="25" fillId="0" borderId="3" xfId="0" applyFont="1" applyBorder="1" applyAlignment="1">
      <alignment horizontal="left" vertical="center" wrapText="1"/>
    </xf>
    <xf numFmtId="49" fontId="1" fillId="0" borderId="2" xfId="0" applyNumberFormat="1" applyFont="1" applyBorder="1" applyAlignment="1">
      <alignment horizontal="center"/>
    </xf>
    <xf numFmtId="49" fontId="11" fillId="0" borderId="2" xfId="0" applyNumberFormat="1" applyFont="1" applyBorder="1" applyAlignment="1">
      <alignment horizontal="center"/>
    </xf>
    <xf numFmtId="164" fontId="22" fillId="0" borderId="1" xfId="0" applyNumberFormat="1" applyFont="1" applyBorder="1"/>
    <xf numFmtId="164" fontId="9" fillId="0" borderId="1" xfId="0" applyNumberFormat="1" applyFont="1" applyBorder="1"/>
    <xf numFmtId="0" fontId="27" fillId="0" borderId="1" xfId="0" applyFont="1" applyBorder="1" applyAlignment="1">
      <alignment horizontal="left" vertical="center" wrapText="1"/>
    </xf>
    <xf numFmtId="164" fontId="20" fillId="0" borderId="1" xfId="0" applyNumberFormat="1" applyFont="1" applyBorder="1"/>
    <xf numFmtId="164" fontId="29" fillId="0" borderId="1" xfId="0" applyNumberFormat="1" applyFont="1" applyBorder="1"/>
    <xf numFmtId="0" fontId="30" fillId="0" borderId="1" xfId="0" applyFont="1" applyBorder="1" applyAlignment="1">
      <alignment horizontal="left" vertical="center" wrapText="1"/>
    </xf>
    <xf numFmtId="0" fontId="29" fillId="0" borderId="1" xfId="0" applyFont="1" applyBorder="1" applyAlignment="1">
      <alignment wrapText="1"/>
    </xf>
    <xf numFmtId="164" fontId="31" fillId="0" borderId="1" xfId="0" applyNumberFormat="1" applyFont="1" applyBorder="1"/>
    <xf numFmtId="0" fontId="27" fillId="0" borderId="0" xfId="0" applyFont="1" applyAlignment="1">
      <alignment horizontal="left" vertical="center" wrapText="1"/>
    </xf>
    <xf numFmtId="0" fontId="8" fillId="0" borderId="1" xfId="0" applyFont="1" applyBorder="1"/>
    <xf numFmtId="0" fontId="13" fillId="0" borderId="0" xfId="0" applyFont="1"/>
    <xf numFmtId="0" fontId="13" fillId="0" borderId="1" xfId="0" applyFont="1" applyBorder="1" applyAlignment="1">
      <alignment horizontal="center"/>
    </xf>
    <xf numFmtId="0" fontId="32" fillId="0" borderId="1" xfId="0" applyFont="1" applyBorder="1"/>
    <xf numFmtId="0" fontId="33" fillId="0" borderId="1" xfId="0" applyFont="1" applyBorder="1"/>
    <xf numFmtId="49" fontId="11" fillId="0" borderId="4" xfId="0" applyNumberFormat="1" applyFont="1" applyBorder="1" applyAlignment="1">
      <alignment horizontal="center"/>
    </xf>
    <xf numFmtId="49" fontId="29" fillId="0" borderId="1" xfId="0" applyNumberFormat="1" applyFont="1" applyBorder="1" applyAlignment="1">
      <alignment horizontal="center"/>
    </xf>
    <xf numFmtId="165" fontId="11" fillId="0" borderId="1" xfId="1" applyNumberFormat="1" applyFont="1" applyBorder="1" applyAlignment="1">
      <alignment horizontal="center"/>
    </xf>
    <xf numFmtId="165" fontId="22" fillId="0" borderId="1" xfId="1" applyNumberFormat="1" applyFont="1" applyBorder="1" applyAlignment="1">
      <alignment horizontal="center"/>
    </xf>
    <xf numFmtId="165" fontId="29" fillId="0" borderId="1" xfId="1" applyNumberFormat="1" applyFont="1" applyBorder="1" applyAlignment="1">
      <alignment horizontal="center"/>
    </xf>
    <xf numFmtId="49" fontId="35" fillId="0" borderId="1" xfId="0" applyNumberFormat="1" applyFont="1" applyBorder="1" applyAlignment="1">
      <alignment horizontal="center"/>
    </xf>
    <xf numFmtId="49" fontId="36" fillId="0" borderId="1" xfId="0" applyNumberFormat="1" applyFont="1" applyBorder="1" applyAlignment="1">
      <alignment horizontal="center"/>
    </xf>
    <xf numFmtId="165" fontId="25" fillId="0" borderId="1" xfId="3" applyNumberFormat="1" applyFont="1" applyBorder="1" applyAlignment="1">
      <alignment horizontal="center"/>
    </xf>
    <xf numFmtId="165" fontId="37" fillId="0" borderId="1" xfId="1" applyNumberFormat="1" applyFont="1" applyBorder="1" applyAlignment="1">
      <alignment horizontal="center"/>
    </xf>
    <xf numFmtId="49" fontId="28" fillId="0" borderId="1" xfId="0" applyNumberFormat="1" applyFont="1" applyBorder="1" applyAlignment="1">
      <alignment horizontal="center"/>
    </xf>
    <xf numFmtId="49" fontId="0" fillId="0" borderId="1" xfId="0" applyNumberFormat="1" applyBorder="1" applyAlignment="1">
      <alignment horizontal="center"/>
    </xf>
    <xf numFmtId="165" fontId="30" fillId="0" borderId="1" xfId="3" applyNumberFormat="1" applyFont="1" applyBorder="1" applyAlignment="1">
      <alignment horizontal="center"/>
    </xf>
    <xf numFmtId="0" fontId="30" fillId="0" borderId="3" xfId="0" applyFont="1" applyBorder="1" applyAlignment="1">
      <alignment horizontal="left" vertical="center" wrapText="1"/>
    </xf>
    <xf numFmtId="0" fontId="2" fillId="0" borderId="0" xfId="0" applyFont="1" applyAlignment="1">
      <alignment horizontal="left" indent="16"/>
    </xf>
    <xf numFmtId="0" fontId="0" fillId="0" borderId="0" xfId="0" applyAlignment="1">
      <alignment horizontal="left" indent="16"/>
    </xf>
    <xf numFmtId="0" fontId="2" fillId="0" borderId="0" xfId="0" applyFont="1" applyAlignment="1">
      <alignment horizontal="left" indent="22"/>
    </xf>
    <xf numFmtId="0" fontId="2" fillId="0" borderId="0" xfId="0" applyFont="1" applyAlignment="1">
      <alignment horizontal="left" indent="19"/>
    </xf>
    <xf numFmtId="0" fontId="0" fillId="0" borderId="0" xfId="0" applyAlignment="1">
      <alignment horizontal="left" indent="19"/>
    </xf>
    <xf numFmtId="49" fontId="0" fillId="0" borderId="2" xfId="0" applyNumberFormat="1" applyBorder="1" applyAlignment="1">
      <alignment horizontal="center"/>
    </xf>
    <xf numFmtId="0" fontId="12" fillId="0" borderId="1" xfId="0" applyFont="1" applyBorder="1"/>
    <xf numFmtId="164" fontId="4" fillId="0" borderId="1" xfId="0" applyNumberFormat="1" applyFont="1" applyBorder="1"/>
    <xf numFmtId="164" fontId="14" fillId="0" borderId="1" xfId="0" applyNumberFormat="1" applyFont="1" applyBorder="1"/>
    <xf numFmtId="164" fontId="11" fillId="0" borderId="1" xfId="0" applyNumberFormat="1" applyFont="1" applyBorder="1"/>
    <xf numFmtId="164" fontId="24" fillId="0" borderId="1" xfId="0" applyNumberFormat="1" applyFont="1" applyBorder="1"/>
    <xf numFmtId="164" fontId="3" fillId="0" borderId="1" xfId="0" applyNumberFormat="1" applyFont="1" applyBorder="1"/>
    <xf numFmtId="0" fontId="11" fillId="0" borderId="1" xfId="0" applyFont="1" applyBorder="1" applyAlignment="1">
      <alignment wrapText="1"/>
    </xf>
    <xf numFmtId="0" fontId="25" fillId="0" borderId="1" xfId="0" applyFont="1" applyBorder="1" applyAlignment="1">
      <alignment horizontal="left" vertical="center" wrapText="1"/>
    </xf>
    <xf numFmtId="0" fontId="0" fillId="0" borderId="1" xfId="0" applyBorder="1" applyAlignment="1">
      <alignment wrapText="1"/>
    </xf>
    <xf numFmtId="49" fontId="0" fillId="0" borderId="1" xfId="0" applyNumberFormat="1" applyBorder="1" applyAlignment="1">
      <alignment horizontal="left" wrapText="1"/>
    </xf>
    <xf numFmtId="0" fontId="25" fillId="0" borderId="9" xfId="0" applyFont="1" applyBorder="1" applyAlignment="1">
      <alignment horizontal="left" vertical="center" wrapText="1"/>
    </xf>
    <xf numFmtId="0" fontId="25" fillId="0" borderId="10" xfId="0" applyFont="1" applyBorder="1" applyAlignment="1">
      <alignment horizontal="left" vertical="center" wrapText="1"/>
    </xf>
    <xf numFmtId="164" fontId="0" fillId="0" borderId="0" xfId="0" applyNumberFormat="1"/>
    <xf numFmtId="0" fontId="11" fillId="0" borderId="8" xfId="0" applyFont="1" applyBorder="1" applyAlignment="1">
      <alignment wrapText="1"/>
    </xf>
    <xf numFmtId="165" fontId="25" fillId="0" borderId="4" xfId="3" applyNumberFormat="1" applyFont="1" applyBorder="1" applyAlignment="1">
      <alignment horizontal="center"/>
    </xf>
    <xf numFmtId="49" fontId="1" fillId="0" borderId="4" xfId="0" applyNumberFormat="1" applyFont="1" applyBorder="1" applyAlignment="1">
      <alignment horizontal="center"/>
    </xf>
    <xf numFmtId="164" fontId="1" fillId="0" borderId="4" xfId="0" applyNumberFormat="1" applyFont="1" applyBorder="1"/>
    <xf numFmtId="0" fontId="11" fillId="0" borderId="0" xfId="0" applyFont="1" applyAlignment="1">
      <alignment wrapText="1"/>
    </xf>
    <xf numFmtId="0" fontId="5" fillId="0" borderId="0" xfId="0" applyFont="1" applyAlignment="1">
      <alignment horizontal="center" wrapText="1"/>
    </xf>
    <xf numFmtId="0" fontId="0" fillId="0" borderId="0" xfId="0" applyAlignment="1">
      <alignment horizontal="center" wrapText="1"/>
    </xf>
    <xf numFmtId="0" fontId="0" fillId="0" borderId="0" xfId="0" applyAlignment="1">
      <alignment horizontal="left" indent="14"/>
    </xf>
    <xf numFmtId="0" fontId="2" fillId="0" borderId="0" xfId="0" applyFont="1" applyAlignment="1">
      <alignment horizontal="center"/>
    </xf>
    <xf numFmtId="166" fontId="1" fillId="0" borderId="1" xfId="0" applyNumberFormat="1" applyFont="1" applyBorder="1"/>
    <xf numFmtId="0" fontId="1" fillId="0" borderId="0" xfId="0" applyFont="1"/>
    <xf numFmtId="0" fontId="15" fillId="0" borderId="1" xfId="0" applyFont="1" applyBorder="1" applyAlignment="1">
      <alignment wrapText="1"/>
    </xf>
    <xf numFmtId="0" fontId="38" fillId="0" borderId="0" xfId="0" applyFont="1" applyAlignment="1">
      <alignment wrapText="1"/>
    </xf>
    <xf numFmtId="166" fontId="3" fillId="0" borderId="1" xfId="0" applyNumberFormat="1" applyFont="1" applyBorder="1"/>
    <xf numFmtId="0" fontId="12" fillId="0" borderId="1" xfId="0" applyFont="1" applyBorder="1" applyAlignment="1">
      <alignment wrapText="1"/>
    </xf>
    <xf numFmtId="166" fontId="14" fillId="0" borderId="1" xfId="0" applyNumberFormat="1" applyFont="1" applyBorder="1"/>
    <xf numFmtId="0" fontId="13" fillId="0" borderId="2" xfId="0" applyFont="1" applyBorder="1"/>
    <xf numFmtId="0" fontId="38" fillId="0" borderId="1" xfId="0" applyFont="1" applyBorder="1" applyAlignment="1">
      <alignment wrapText="1"/>
    </xf>
    <xf numFmtId="0" fontId="30" fillId="0" borderId="10" xfId="0" applyFont="1" applyBorder="1" applyAlignment="1">
      <alignment horizontal="left" vertical="center" wrapText="1"/>
    </xf>
    <xf numFmtId="0" fontId="39" fillId="0" borderId="0" xfId="0" applyFont="1" applyAlignment="1">
      <alignment vertical="justify" wrapText="1"/>
    </xf>
    <xf numFmtId="0" fontId="39" fillId="0" borderId="0" xfId="0" applyFont="1" applyAlignment="1">
      <alignment wrapText="1"/>
    </xf>
    <xf numFmtId="0" fontId="11" fillId="0" borderId="1" xfId="0" applyFont="1" applyBorder="1" applyAlignment="1">
      <alignment horizontal="center"/>
    </xf>
    <xf numFmtId="0" fontId="11" fillId="0" borderId="0" xfId="0" applyFont="1"/>
    <xf numFmtId="0" fontId="2" fillId="0" borderId="0" xfId="0" applyFont="1" applyAlignment="1">
      <alignment horizontal="left" indent="18"/>
    </xf>
    <xf numFmtId="0" fontId="0" fillId="0" borderId="8" xfId="0" applyBorder="1" applyAlignment="1">
      <alignment wrapText="1"/>
    </xf>
    <xf numFmtId="1" fontId="40" fillId="0" borderId="1" xfId="4" applyBorder="1" applyAlignment="1">
      <alignment horizontal="center" shrinkToFit="1"/>
    </xf>
    <xf numFmtId="0" fontId="39" fillId="0" borderId="1" xfId="0" applyFont="1" applyBorder="1" applyAlignment="1">
      <alignment wrapText="1"/>
    </xf>
    <xf numFmtId="49" fontId="41" fillId="0" borderId="14" xfId="4" applyNumberFormat="1" applyFont="1" applyBorder="1" applyAlignment="1">
      <alignment horizontal="center" shrinkToFit="1"/>
    </xf>
    <xf numFmtId="0" fontId="42" fillId="0" borderId="1" xfId="0" applyFont="1" applyBorder="1"/>
    <xf numFmtId="49" fontId="11" fillId="0" borderId="1" xfId="0" applyNumberFormat="1" applyFont="1" applyBorder="1" applyAlignment="1">
      <alignment horizontal="center" wrapText="1"/>
    </xf>
    <xf numFmtId="0" fontId="0" fillId="0" borderId="0" xfId="0" applyAlignment="1">
      <alignment wrapText="1"/>
    </xf>
    <xf numFmtId="49" fontId="11" fillId="0" borderId="1" xfId="1" applyNumberFormat="1" applyFont="1" applyBorder="1" applyAlignment="1">
      <alignment horizontal="center"/>
    </xf>
    <xf numFmtId="49" fontId="40" fillId="0" borderId="1" xfId="4" applyNumberFormat="1" applyBorder="1" applyAlignment="1">
      <alignment horizontal="center" wrapText="1" shrinkToFit="1"/>
    </xf>
    <xf numFmtId="49" fontId="40" fillId="0" borderId="14" xfId="4" applyNumberFormat="1" applyBorder="1" applyAlignment="1">
      <alignment horizontal="center" shrinkToFit="1"/>
    </xf>
    <xf numFmtId="0" fontId="0" fillId="0" borderId="1" xfId="0" applyBorder="1" applyAlignment="1">
      <alignment horizontal="center" wrapText="1"/>
    </xf>
    <xf numFmtId="49" fontId="40" fillId="0" borderId="15" xfId="4" applyNumberFormat="1" applyBorder="1" applyAlignment="1">
      <alignment horizontal="center" shrinkToFit="1"/>
    </xf>
    <xf numFmtId="1" fontId="44" fillId="0" borderId="1" xfId="4" applyFont="1" applyBorder="1" applyAlignment="1">
      <alignment horizontal="center" shrinkToFit="1"/>
    </xf>
    <xf numFmtId="0" fontId="45" fillId="0" borderId="1" xfId="0" applyFont="1" applyBorder="1" applyAlignment="1">
      <alignment wrapText="1"/>
    </xf>
    <xf numFmtId="0" fontId="45" fillId="0" borderId="1" xfId="0" applyFont="1" applyBorder="1" applyAlignment="1">
      <alignment vertical="top" wrapText="1"/>
    </xf>
    <xf numFmtId="0" fontId="0" fillId="0" borderId="1" xfId="0" applyBorder="1" applyAlignment="1">
      <alignment horizontal="center"/>
    </xf>
    <xf numFmtId="164" fontId="46" fillId="0" borderId="0" xfId="0" applyNumberFormat="1" applyFont="1"/>
    <xf numFmtId="0" fontId="46" fillId="0" borderId="0" xfId="0" applyFont="1"/>
    <xf numFmtId="0" fontId="3" fillId="0" borderId="1" xfId="0" applyFont="1" applyBorder="1"/>
    <xf numFmtId="2" fontId="0" fillId="0" borderId="1" xfId="0" applyNumberFormat="1" applyBorder="1"/>
    <xf numFmtId="0" fontId="11" fillId="0" borderId="0" xfId="0" applyFont="1" applyAlignment="1">
      <alignment horizontal="justify" vertical="center"/>
    </xf>
    <xf numFmtId="164" fontId="16" fillId="0" borderId="0" xfId="0" applyNumberFormat="1" applyFont="1"/>
    <xf numFmtId="9" fontId="1" fillId="0" borderId="1" xfId="6" applyFont="1" applyBorder="1" applyAlignment="1">
      <alignment horizontal="center"/>
    </xf>
    <xf numFmtId="9" fontId="11" fillId="0" borderId="1" xfId="6" applyFont="1" applyBorder="1" applyAlignment="1">
      <alignment horizontal="center" wrapText="1"/>
    </xf>
    <xf numFmtId="9" fontId="11" fillId="0" borderId="1" xfId="6" applyFont="1" applyBorder="1" applyAlignment="1">
      <alignment horizontal="center"/>
    </xf>
    <xf numFmtId="9" fontId="25" fillId="0" borderId="1" xfId="6" applyFont="1" applyFill="1" applyBorder="1" applyAlignment="1">
      <alignment horizontal="left" vertical="center" wrapText="1"/>
    </xf>
    <xf numFmtId="9" fontId="16" fillId="0" borderId="0" xfId="6" applyFont="1"/>
    <xf numFmtId="0" fontId="2" fillId="0" borderId="0" xfId="0" applyFont="1" applyAlignment="1">
      <alignment horizontal="left" indent="14"/>
    </xf>
    <xf numFmtId="49" fontId="12" fillId="0" borderId="1" xfId="0" applyNumberFormat="1" applyFont="1" applyBorder="1" applyAlignment="1">
      <alignment horizontal="center"/>
    </xf>
    <xf numFmtId="0" fontId="47" fillId="0" borderId="1" xfId="0" applyFont="1" applyBorder="1" applyAlignment="1">
      <alignment wrapText="1"/>
    </xf>
    <xf numFmtId="49" fontId="15" fillId="0" borderId="1" xfId="0" applyNumberFormat="1" applyFont="1" applyBorder="1" applyAlignment="1">
      <alignment horizontal="center"/>
    </xf>
    <xf numFmtId="49" fontId="13" fillId="0" borderId="1" xfId="0" applyNumberFormat="1" applyFont="1" applyBorder="1" applyAlignment="1">
      <alignment horizontal="center"/>
    </xf>
    <xf numFmtId="164" fontId="9" fillId="0" borderId="1" xfId="0" applyNumberFormat="1" applyFont="1" applyBorder="1" applyAlignment="1">
      <alignment horizontal="right"/>
    </xf>
    <xf numFmtId="164" fontId="9" fillId="0" borderId="1" xfId="0" applyNumberFormat="1" applyFont="1" applyBorder="1" applyAlignment="1">
      <alignment horizontal="center"/>
    </xf>
    <xf numFmtId="49" fontId="39" fillId="0" borderId="1" xfId="0" applyNumberFormat="1" applyFont="1" applyBorder="1" applyAlignment="1">
      <alignment horizontal="center"/>
    </xf>
    <xf numFmtId="164" fontId="10" fillId="0" borderId="0" xfId="0" applyNumberFormat="1" applyFont="1"/>
    <xf numFmtId="0" fontId="25" fillId="0" borderId="16" xfId="0" applyFont="1" applyBorder="1" applyAlignment="1">
      <alignment horizontal="left" vertical="center" wrapText="1"/>
    </xf>
    <xf numFmtId="164" fontId="0" fillId="0" borderId="4" xfId="0" applyNumberFormat="1" applyBorder="1"/>
    <xf numFmtId="49" fontId="0" fillId="2" borderId="1" xfId="0" applyNumberFormat="1" applyFill="1" applyBorder="1" applyAlignment="1">
      <alignment horizontal="center"/>
    </xf>
    <xf numFmtId="49" fontId="1" fillId="2" borderId="1" xfId="0" applyNumberFormat="1" applyFont="1" applyFill="1" applyBorder="1" applyAlignment="1">
      <alignment horizontal="center"/>
    </xf>
    <xf numFmtId="1" fontId="40" fillId="2" borderId="1" xfId="4" applyFill="1" applyBorder="1" applyAlignment="1">
      <alignment horizontal="center" shrinkToFit="1"/>
    </xf>
    <xf numFmtId="0" fontId="25" fillId="2" borderId="1" xfId="0" applyFont="1" applyFill="1" applyBorder="1" applyAlignment="1">
      <alignment horizontal="left" vertical="center" wrapText="1"/>
    </xf>
    <xf numFmtId="164" fontId="1" fillId="2" borderId="1" xfId="0" applyNumberFormat="1" applyFont="1" applyFill="1" applyBorder="1"/>
    <xf numFmtId="164" fontId="18" fillId="0" borderId="0" xfId="0" applyNumberFormat="1" applyFont="1"/>
    <xf numFmtId="0" fontId="48" fillId="0" borderId="0" xfId="0" applyFont="1" applyAlignment="1">
      <alignment wrapText="1"/>
    </xf>
    <xf numFmtId="0" fontId="39" fillId="0" borderId="0" xfId="0" applyFont="1"/>
    <xf numFmtId="0" fontId="11" fillId="0" borderId="0" xfId="0" applyFont="1" applyAlignment="1">
      <alignment vertical="center" wrapText="1"/>
    </xf>
    <xf numFmtId="49" fontId="11" fillId="0" borderId="0" xfId="0" applyNumberFormat="1" applyFont="1" applyAlignment="1">
      <alignment horizontal="center"/>
    </xf>
    <xf numFmtId="164" fontId="14" fillId="2" borderId="1" xfId="0" applyNumberFormat="1" applyFont="1" applyFill="1" applyBorder="1"/>
    <xf numFmtId="0" fontId="39" fillId="0" borderId="1" xfId="5" applyFont="1" applyBorder="1">
      <alignment vertical="top" wrapText="1"/>
    </xf>
    <xf numFmtId="0" fontId="0" fillId="0" borderId="1" xfId="0" applyBorder="1" applyAlignment="1">
      <alignment wrapText="1"/>
    </xf>
    <xf numFmtId="0" fontId="0" fillId="0" borderId="0" xfId="0"/>
    <xf numFmtId="0" fontId="0" fillId="0" borderId="1" xfId="0" applyBorder="1" applyAlignment="1">
      <alignment wrapText="1"/>
    </xf>
    <xf numFmtId="0" fontId="0" fillId="0" borderId="2" xfId="0" applyBorder="1" applyAlignment="1">
      <alignment wrapText="1"/>
    </xf>
    <xf numFmtId="0" fontId="0" fillId="0" borderId="1" xfId="0" applyBorder="1" applyAlignment="1">
      <alignment horizontal="center" wrapText="1"/>
    </xf>
    <xf numFmtId="0" fontId="0" fillId="0" borderId="0" xfId="0" applyAlignment="1">
      <alignment horizontal="center" wrapText="1"/>
    </xf>
    <xf numFmtId="0" fontId="0" fillId="0" borderId="0" xfId="0"/>
    <xf numFmtId="0" fontId="2" fillId="0" borderId="0" xfId="0" applyFont="1" applyAlignment="1">
      <alignment horizontal="left" indent="21"/>
    </xf>
    <xf numFmtId="0" fontId="0" fillId="0" borderId="0" xfId="0" applyAlignment="1">
      <alignment horizontal="left" indent="21"/>
    </xf>
    <xf numFmtId="0" fontId="0" fillId="0" borderId="0" xfId="0" applyAlignment="1"/>
    <xf numFmtId="0" fontId="6" fillId="0" borderId="0" xfId="0" applyFont="1" applyAlignment="1">
      <alignment horizontal="center" wrapText="1"/>
    </xf>
    <xf numFmtId="0" fontId="6" fillId="0" borderId="0" xfId="0" applyFont="1"/>
    <xf numFmtId="0" fontId="0" fillId="0" borderId="6" xfId="0" applyBorder="1" applyAlignment="1">
      <alignment horizontal="center" wrapText="1"/>
    </xf>
    <xf numFmtId="0" fontId="25" fillId="0" borderId="1" xfId="0" applyFont="1" applyFill="1" applyBorder="1" applyAlignment="1">
      <alignment horizontal="left" vertical="center" wrapText="1"/>
    </xf>
    <xf numFmtId="49" fontId="0" fillId="0" borderId="1" xfId="0" applyNumberFormat="1" applyFont="1" applyBorder="1" applyAlignment="1">
      <alignment horizontal="center"/>
    </xf>
    <xf numFmtId="0" fontId="0" fillId="0" borderId="1" xfId="0" applyFont="1" applyBorder="1" applyAlignment="1">
      <alignment wrapText="1"/>
    </xf>
    <xf numFmtId="14" fontId="0" fillId="0" borderId="1" xfId="0" applyNumberFormat="1" applyFont="1" applyBorder="1" applyAlignment="1">
      <alignment horizontal="right" wrapText="1"/>
    </xf>
    <xf numFmtId="164" fontId="0" fillId="0" borderId="1" xfId="0" applyNumberFormat="1" applyFont="1" applyFill="1" applyBorder="1"/>
    <xf numFmtId="0" fontId="0" fillId="0" borderId="1" xfId="0" applyBorder="1" applyAlignment="1">
      <alignment horizontal="left"/>
    </xf>
    <xf numFmtId="0" fontId="0" fillId="0" borderId="0" xfId="0"/>
    <xf numFmtId="164" fontId="0" fillId="0" borderId="0" xfId="0" applyNumberFormat="1" applyFill="1" applyBorder="1"/>
    <xf numFmtId="0" fontId="0" fillId="0" borderId="0" xfId="0"/>
    <xf numFmtId="0" fontId="0" fillId="0" borderId="0" xfId="0"/>
    <xf numFmtId="0" fontId="0" fillId="0" borderId="0" xfId="0"/>
    <xf numFmtId="0" fontId="0" fillId="0" borderId="0" xfId="0"/>
    <xf numFmtId="0" fontId="0" fillId="0" borderId="0" xfId="0"/>
    <xf numFmtId="49" fontId="41" fillId="0" borderId="0" xfId="4" applyNumberFormat="1" applyFont="1" applyBorder="1" applyAlignment="1">
      <alignment horizontal="center" shrinkToFit="1"/>
    </xf>
    <xf numFmtId="49" fontId="41" fillId="0" borderId="1" xfId="4" applyNumberFormat="1" applyFont="1" applyBorder="1" applyAlignment="1">
      <alignment horizontal="center" shrinkToFit="1"/>
    </xf>
    <xf numFmtId="49" fontId="11" fillId="0" borderId="11" xfId="0" applyNumberFormat="1" applyFont="1" applyBorder="1" applyAlignment="1">
      <alignment horizontal="center"/>
    </xf>
    <xf numFmtId="0" fontId="11" fillId="0" borderId="1" xfId="0" applyFont="1" applyBorder="1" applyAlignment="1">
      <alignment vertical="center" wrapText="1"/>
    </xf>
    <xf numFmtId="164" fontId="0" fillId="0" borderId="8" xfId="0" applyNumberFormat="1" applyBorder="1"/>
    <xf numFmtId="0" fontId="25" fillId="0" borderId="4" xfId="0" applyFont="1" applyBorder="1" applyAlignment="1">
      <alignment horizontal="left" vertical="center" wrapText="1"/>
    </xf>
    <xf numFmtId="0" fontId="0" fillId="0" borderId="0" xfId="0"/>
    <xf numFmtId="0" fontId="0" fillId="0" borderId="0" xfId="0"/>
    <xf numFmtId="164" fontId="42" fillId="0" borderId="1" xfId="0" applyNumberFormat="1" applyFont="1" applyBorder="1"/>
    <xf numFmtId="0" fontId="0" fillId="0" borderId="0" xfId="0"/>
    <xf numFmtId="164" fontId="1" fillId="0" borderId="1" xfId="0" applyNumberFormat="1" applyFont="1" applyFill="1" applyBorder="1"/>
    <xf numFmtId="2" fontId="0" fillId="0" borderId="0" xfId="0" applyNumberFormat="1" applyFill="1" applyBorder="1"/>
    <xf numFmtId="0" fontId="0" fillId="0" borderId="0" xfId="0"/>
    <xf numFmtId="166" fontId="9" fillId="0" borderId="1" xfId="0" applyNumberFormat="1" applyFont="1" applyBorder="1"/>
    <xf numFmtId="166" fontId="4" fillId="0" borderId="1" xfId="0" applyNumberFormat="1" applyFont="1" applyBorder="1"/>
    <xf numFmtId="166" fontId="18" fillId="0" borderId="1" xfId="0" applyNumberFormat="1" applyFont="1" applyBorder="1"/>
    <xf numFmtId="166" fontId="0" fillId="0" borderId="1" xfId="0" applyNumberFormat="1" applyBorder="1"/>
    <xf numFmtId="166" fontId="17" fillId="0" borderId="1" xfId="0" applyNumberFormat="1" applyFont="1" applyBorder="1"/>
    <xf numFmtId="166" fontId="16" fillId="0" borderId="1" xfId="0" applyNumberFormat="1" applyFont="1" applyBorder="1"/>
    <xf numFmtId="166" fontId="1" fillId="0" borderId="4" xfId="0" applyNumberFormat="1" applyFont="1" applyBorder="1"/>
    <xf numFmtId="166" fontId="11" fillId="0" borderId="1" xfId="0" applyNumberFormat="1" applyFont="1" applyBorder="1"/>
    <xf numFmtId="166" fontId="20" fillId="0" borderId="1" xfId="0" applyNumberFormat="1" applyFont="1" applyBorder="1"/>
    <xf numFmtId="166" fontId="22" fillId="0" borderId="1" xfId="0" applyNumberFormat="1" applyFont="1" applyBorder="1"/>
    <xf numFmtId="166" fontId="0" fillId="0" borderId="1" xfId="0" applyNumberFormat="1" applyFill="1" applyBorder="1"/>
    <xf numFmtId="166" fontId="1" fillId="0" borderId="1" xfId="0" applyNumberFormat="1" applyFont="1" applyFill="1" applyBorder="1"/>
    <xf numFmtId="166" fontId="1" fillId="2" borderId="1" xfId="0" applyNumberFormat="1" applyFont="1" applyFill="1" applyBorder="1"/>
    <xf numFmtId="166" fontId="29" fillId="0" borderId="1" xfId="0" applyNumberFormat="1" applyFont="1" applyBorder="1"/>
    <xf numFmtId="166" fontId="31" fillId="0" borderId="1" xfId="0" applyNumberFormat="1" applyFont="1" applyBorder="1"/>
    <xf numFmtId="166" fontId="42" fillId="0" borderId="1" xfId="0" applyNumberFormat="1" applyFont="1" applyBorder="1"/>
    <xf numFmtId="166" fontId="0" fillId="0" borderId="8" xfId="0" applyNumberFormat="1" applyBorder="1"/>
    <xf numFmtId="166" fontId="0" fillId="0" borderId="1" xfId="0" applyNumberFormat="1" applyFont="1" applyFill="1" applyBorder="1"/>
    <xf numFmtId="49" fontId="3" fillId="0" borderId="1" xfId="0" applyNumberFormat="1" applyFont="1" applyBorder="1" applyAlignment="1">
      <alignment horizontal="center" wrapText="1"/>
    </xf>
    <xf numFmtId="0" fontId="0" fillId="0" borderId="1" xfId="0" applyBorder="1" applyAlignment="1">
      <alignment wrapText="1"/>
    </xf>
    <xf numFmtId="0" fontId="5" fillId="0" borderId="0" xfId="0" applyFont="1" applyAlignment="1">
      <alignment horizontal="center" wrapText="1"/>
    </xf>
    <xf numFmtId="0" fontId="3" fillId="0" borderId="2" xfId="0" applyFont="1" applyBorder="1" applyAlignment="1">
      <alignment horizontal="center" wrapText="1"/>
    </xf>
    <xf numFmtId="0" fontId="3" fillId="0" borderId="5" xfId="0" applyFont="1" applyBorder="1" applyAlignment="1">
      <alignment horizontal="center" wrapText="1"/>
    </xf>
    <xf numFmtId="0" fontId="3" fillId="0" borderId="4" xfId="0" applyFont="1" applyBorder="1" applyAlignment="1">
      <alignment horizontal="center" wrapText="1"/>
    </xf>
    <xf numFmtId="0" fontId="0" fillId="0" borderId="2" xfId="0" applyBorder="1" applyAlignment="1">
      <alignment wrapText="1"/>
    </xf>
    <xf numFmtId="0" fontId="0" fillId="0" borderId="5" xfId="0" applyBorder="1" applyAlignment="1">
      <alignment wrapText="1"/>
    </xf>
    <xf numFmtId="0" fontId="0" fillId="0" borderId="4" xfId="0" applyBorder="1" applyAlignment="1">
      <alignment wrapText="1"/>
    </xf>
    <xf numFmtId="0" fontId="0" fillId="0" borderId="11" xfId="0" applyBorder="1" applyAlignment="1">
      <alignment horizontal="center" wrapText="1"/>
    </xf>
    <xf numFmtId="0" fontId="0" fillId="0" borderId="12" xfId="0" applyBorder="1" applyAlignment="1">
      <alignment horizontal="center" wrapText="1"/>
    </xf>
    <xf numFmtId="0" fontId="0" fillId="0" borderId="8" xfId="0" applyBorder="1" applyAlignment="1">
      <alignment horizontal="center" wrapText="1"/>
    </xf>
    <xf numFmtId="0" fontId="0" fillId="0" borderId="2" xfId="0" applyBorder="1" applyAlignment="1">
      <alignment horizontal="center" wrapText="1"/>
    </xf>
    <xf numFmtId="0" fontId="0" fillId="0" borderId="4" xfId="0" applyBorder="1" applyAlignment="1">
      <alignment horizontal="center" wrapText="1"/>
    </xf>
    <xf numFmtId="0" fontId="0" fillId="0" borderId="11" xfId="0" applyBorder="1" applyAlignment="1">
      <alignment wrapText="1"/>
    </xf>
    <xf numFmtId="0" fontId="0" fillId="0" borderId="8" xfId="0" applyBorder="1" applyAlignment="1">
      <alignment wrapText="1"/>
    </xf>
    <xf numFmtId="0" fontId="0" fillId="0" borderId="0" xfId="0" applyAlignment="1">
      <alignment wrapText="1"/>
    </xf>
    <xf numFmtId="0" fontId="8" fillId="0" borderId="2" xfId="0" applyFont="1" applyBorder="1" applyAlignment="1">
      <alignment wrapText="1"/>
    </xf>
    <xf numFmtId="0" fontId="8" fillId="0" borderId="5" xfId="0" applyFont="1" applyBorder="1" applyAlignment="1">
      <alignment wrapText="1"/>
    </xf>
    <xf numFmtId="0" fontId="8" fillId="0" borderId="4" xfId="0" applyFont="1" applyBorder="1" applyAlignment="1">
      <alignment wrapText="1"/>
    </xf>
    <xf numFmtId="0" fontId="0" fillId="0" borderId="5" xfId="0" applyBorder="1" applyAlignment="1">
      <alignment horizontal="center" wrapText="1"/>
    </xf>
    <xf numFmtId="0" fontId="0" fillId="0" borderId="1" xfId="0" applyBorder="1" applyAlignment="1">
      <alignment horizontal="center" wrapText="1"/>
    </xf>
    <xf numFmtId="0" fontId="0" fillId="0" borderId="0" xfId="0" applyAlignment="1">
      <alignment horizontal="center" wrapText="1"/>
    </xf>
    <xf numFmtId="0" fontId="0" fillId="0" borderId="0" xfId="0"/>
    <xf numFmtId="0" fontId="2" fillId="0" borderId="0" xfId="0" applyFont="1" applyAlignment="1">
      <alignment horizontal="left" indent="14"/>
    </xf>
    <xf numFmtId="0" fontId="2" fillId="0" borderId="0" xfId="0" applyFont="1" applyAlignment="1">
      <alignment horizontal="left" wrapText="1" indent="14"/>
    </xf>
    <xf numFmtId="0" fontId="0" fillId="0" borderId="6" xfId="0" applyBorder="1" applyAlignment="1">
      <alignment wrapText="1"/>
    </xf>
    <xf numFmtId="0" fontId="0" fillId="0" borderId="7" xfId="0" applyBorder="1" applyAlignment="1">
      <alignment wrapText="1"/>
    </xf>
    <xf numFmtId="0" fontId="13" fillId="0" borderId="1" xfId="0" applyFont="1" applyBorder="1" applyAlignment="1">
      <alignment wrapText="1"/>
    </xf>
    <xf numFmtId="0" fontId="1" fillId="0" borderId="4" xfId="0" applyFont="1" applyBorder="1" applyAlignment="1">
      <alignment wrapText="1"/>
    </xf>
    <xf numFmtId="0" fontId="0" fillId="0" borderId="17" xfId="0" applyBorder="1" applyAlignment="1">
      <alignment wrapText="1"/>
    </xf>
    <xf numFmtId="0" fontId="0" fillId="0" borderId="18" xfId="0" applyBorder="1" applyAlignment="1">
      <alignment wrapText="1"/>
    </xf>
    <xf numFmtId="0" fontId="0" fillId="0" borderId="19" xfId="0" applyBorder="1" applyAlignment="1">
      <alignment wrapText="1"/>
    </xf>
    <xf numFmtId="0" fontId="0" fillId="0" borderId="20" xfId="0" applyBorder="1" applyAlignment="1">
      <alignment wrapText="1"/>
    </xf>
    <xf numFmtId="0" fontId="0" fillId="0" borderId="6" xfId="0" applyBorder="1" applyAlignment="1">
      <alignment horizontal="center" wrapText="1"/>
    </xf>
    <xf numFmtId="0" fontId="0" fillId="0" borderId="18" xfId="0" applyBorder="1" applyAlignment="1">
      <alignment horizontal="center" wrapText="1"/>
    </xf>
    <xf numFmtId="0" fontId="0" fillId="0" borderId="7" xfId="0" applyBorder="1" applyAlignment="1">
      <alignment horizontal="center" wrapText="1"/>
    </xf>
    <xf numFmtId="0" fontId="0" fillId="0" borderId="20" xfId="0" applyBorder="1" applyAlignment="1">
      <alignment horizontal="center" wrapText="1"/>
    </xf>
  </cellXfs>
  <cellStyles count="7">
    <cellStyle name="Normal" xfId="1"/>
    <cellStyle name="xl25" xfId="4"/>
    <cellStyle name="xl37" xfId="5"/>
    <cellStyle name="Название" xfId="2" builtinId="15" customBuiltin="1"/>
    <cellStyle name="Обычный" xfId="0" builtinId="0"/>
    <cellStyle name="Обычный 2" xfId="3"/>
    <cellStyle name="Процентный" xfId="6"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003063"/>
      <rgbColor rgb="00EAEAEA"/>
      <rgbColor rgb="00333333"/>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view="pageBreakPreview" zoomScale="60" zoomScaleNormal="100" workbookViewId="0">
      <selection activeCell="C5" sqref="C5"/>
    </sheetView>
  </sheetViews>
  <sheetFormatPr defaultColWidth="9.140625" defaultRowHeight="12.75" x14ac:dyDescent="0.2"/>
  <cols>
    <col min="1" max="1" width="24" customWidth="1"/>
    <col min="2" max="2" width="29.28515625" customWidth="1"/>
    <col min="3" max="3" width="11.85546875" bestFit="1" customWidth="1"/>
    <col min="4" max="4" width="10" hidden="1" customWidth="1"/>
    <col min="5" max="5" width="1.85546875" hidden="1" customWidth="1"/>
    <col min="6" max="7" width="11.7109375" customWidth="1"/>
  </cols>
  <sheetData>
    <row r="1" spans="1:3" x14ac:dyDescent="0.2">
      <c r="B1" s="155" t="s">
        <v>137</v>
      </c>
    </row>
    <row r="2" spans="1:3" x14ac:dyDescent="0.2">
      <c r="B2" s="155" t="s">
        <v>565</v>
      </c>
    </row>
    <row r="3" spans="1:3" x14ac:dyDescent="0.2">
      <c r="B3" s="155" t="s">
        <v>827</v>
      </c>
    </row>
    <row r="4" spans="1:3" x14ac:dyDescent="0.2">
      <c r="B4" s="155" t="s">
        <v>621</v>
      </c>
    </row>
    <row r="5" spans="1:3" x14ac:dyDescent="0.2">
      <c r="B5" s="155" t="s">
        <v>682</v>
      </c>
    </row>
    <row r="6" spans="1:3" x14ac:dyDescent="0.2">
      <c r="B6" s="155" t="s">
        <v>143</v>
      </c>
    </row>
    <row r="7" spans="1:3" x14ac:dyDescent="0.2">
      <c r="B7" s="155" t="s">
        <v>654</v>
      </c>
    </row>
    <row r="11" spans="1:3" x14ac:dyDescent="0.2">
      <c r="A11" s="7"/>
      <c r="B11" s="155" t="s">
        <v>137</v>
      </c>
      <c r="C11" s="88"/>
    </row>
    <row r="12" spans="1:3" x14ac:dyDescent="0.2">
      <c r="A12" s="7"/>
      <c r="B12" s="155" t="s">
        <v>370</v>
      </c>
      <c r="C12" s="88"/>
    </row>
    <row r="13" spans="1:3" x14ac:dyDescent="0.2">
      <c r="A13" s="7"/>
      <c r="B13" s="155" t="s">
        <v>683</v>
      </c>
      <c r="C13" s="88"/>
    </row>
    <row r="14" spans="1:3" x14ac:dyDescent="0.2">
      <c r="A14" s="7"/>
      <c r="B14" s="155" t="s">
        <v>143</v>
      </c>
      <c r="C14" s="88"/>
    </row>
    <row r="15" spans="1:3" x14ac:dyDescent="0.2">
      <c r="A15" s="7"/>
      <c r="B15" s="155" t="s">
        <v>654</v>
      </c>
      <c r="C15" s="88"/>
    </row>
    <row r="16" spans="1:3" x14ac:dyDescent="0.2">
      <c r="A16" s="7"/>
      <c r="B16" s="155"/>
      <c r="C16" s="88"/>
    </row>
    <row r="17" spans="1:7" ht="34.5" customHeight="1" x14ac:dyDescent="0.2">
      <c r="A17" s="237" t="s">
        <v>653</v>
      </c>
      <c r="B17" s="237"/>
      <c r="C17" s="237"/>
      <c r="D17" s="237"/>
      <c r="E17" s="237"/>
      <c r="F17" s="237"/>
      <c r="G17" s="237"/>
    </row>
    <row r="19" spans="1:7" x14ac:dyDescent="0.2">
      <c r="C19" s="112"/>
    </row>
    <row r="20" spans="1:7" s="114" customFormat="1" x14ac:dyDescent="0.2">
      <c r="A20" s="238" t="s">
        <v>319</v>
      </c>
      <c r="B20" s="241" t="s">
        <v>90</v>
      </c>
      <c r="C20" s="244" t="s">
        <v>27</v>
      </c>
      <c r="D20" s="245"/>
      <c r="E20" s="245"/>
      <c r="F20" s="245"/>
      <c r="G20" s="246"/>
    </row>
    <row r="21" spans="1:7" s="114" customFormat="1" x14ac:dyDescent="0.2">
      <c r="A21" s="239"/>
      <c r="B21" s="242"/>
      <c r="C21" s="247" t="s">
        <v>464</v>
      </c>
      <c r="D21" s="249" t="s">
        <v>140</v>
      </c>
      <c r="E21" s="250"/>
      <c r="F21" s="249" t="s">
        <v>140</v>
      </c>
      <c r="G21" s="250"/>
    </row>
    <row r="22" spans="1:7" s="114" customFormat="1" x14ac:dyDescent="0.2">
      <c r="A22" s="240"/>
      <c r="B22" s="243"/>
      <c r="C22" s="248"/>
      <c r="D22" s="1" t="s">
        <v>141</v>
      </c>
      <c r="E22" s="1" t="s">
        <v>142</v>
      </c>
      <c r="F22" s="143" t="s">
        <v>590</v>
      </c>
      <c r="G22" s="143" t="s">
        <v>655</v>
      </c>
    </row>
    <row r="23" spans="1:7" s="114" customFormat="1" ht="48" x14ac:dyDescent="0.2">
      <c r="A23" s="156" t="s">
        <v>616</v>
      </c>
      <c r="B23" s="157" t="s">
        <v>634</v>
      </c>
      <c r="C23" s="117">
        <f>C24</f>
        <v>-24975</v>
      </c>
      <c r="D23" s="117">
        <f t="shared" ref="D23:G24" si="0">D24</f>
        <v>-47400</v>
      </c>
      <c r="E23" s="117">
        <f t="shared" si="0"/>
        <v>-47400</v>
      </c>
      <c r="F23" s="117">
        <f t="shared" si="0"/>
        <v>0</v>
      </c>
      <c r="G23" s="117">
        <f t="shared" si="0"/>
        <v>0</v>
      </c>
    </row>
    <row r="24" spans="1:7" s="19" customFormat="1" ht="60" x14ac:dyDescent="0.2">
      <c r="A24" s="158" t="s">
        <v>635</v>
      </c>
      <c r="B24" s="115" t="s">
        <v>636</v>
      </c>
      <c r="C24" s="113">
        <f>C25</f>
        <v>-24975</v>
      </c>
      <c r="D24" s="113">
        <f t="shared" si="0"/>
        <v>-47400</v>
      </c>
      <c r="E24" s="113">
        <f t="shared" si="0"/>
        <v>-47400</v>
      </c>
      <c r="F24" s="113">
        <f t="shared" si="0"/>
        <v>0</v>
      </c>
      <c r="G24" s="113">
        <f t="shared" si="0"/>
        <v>0</v>
      </c>
    </row>
    <row r="25" spans="1:7" ht="117" customHeight="1" x14ac:dyDescent="0.2">
      <c r="A25" s="159" t="s">
        <v>637</v>
      </c>
      <c r="B25" s="116" t="s">
        <v>638</v>
      </c>
      <c r="C25" s="113">
        <v>-24975</v>
      </c>
      <c r="D25" s="113">
        <v>-47400</v>
      </c>
      <c r="E25" s="113">
        <v>-47400</v>
      </c>
      <c r="F25" s="113"/>
      <c r="G25" s="113">
        <v>0</v>
      </c>
    </row>
    <row r="26" spans="1:7" ht="27.75" customHeight="1" x14ac:dyDescent="0.2">
      <c r="A26" s="91" t="s">
        <v>320</v>
      </c>
      <c r="B26" s="118" t="s">
        <v>321</v>
      </c>
      <c r="C26" s="117">
        <f t="shared" ref="C26:G26" si="1">C27+C29</f>
        <v>99831</v>
      </c>
      <c r="D26" s="117">
        <f t="shared" si="1"/>
        <v>0</v>
      </c>
      <c r="E26" s="117">
        <f t="shared" si="1"/>
        <v>0</v>
      </c>
      <c r="F26" s="117">
        <f t="shared" si="1"/>
        <v>3905.2000000001863</v>
      </c>
      <c r="G26" s="117">
        <f t="shared" si="1"/>
        <v>0</v>
      </c>
    </row>
    <row r="27" spans="1:7" ht="24" x14ac:dyDescent="0.2">
      <c r="A27" s="24" t="s">
        <v>322</v>
      </c>
      <c r="B27" s="115" t="s">
        <v>323</v>
      </c>
      <c r="C27" s="119">
        <f>C28</f>
        <v>-1740393.1</v>
      </c>
      <c r="D27" s="119">
        <f t="shared" ref="D27:E27" si="2">D28</f>
        <v>0</v>
      </c>
      <c r="E27" s="119">
        <f t="shared" si="2"/>
        <v>0</v>
      </c>
      <c r="F27" s="119">
        <f>F28</f>
        <v>-1320863.3999999999</v>
      </c>
      <c r="G27" s="119">
        <f>G28</f>
        <v>-1329023.1000000001</v>
      </c>
    </row>
    <row r="28" spans="1:7" ht="36" x14ac:dyDescent="0.2">
      <c r="A28" s="25" t="s">
        <v>617</v>
      </c>
      <c r="B28" s="116" t="s">
        <v>324</v>
      </c>
      <c r="C28" s="113">
        <v>-1740393.1</v>
      </c>
      <c r="D28" s="113"/>
      <c r="E28" s="113"/>
      <c r="F28" s="113">
        <v>-1320863.3999999999</v>
      </c>
      <c r="G28" s="113">
        <v>-1329023.1000000001</v>
      </c>
    </row>
    <row r="29" spans="1:7" ht="24" x14ac:dyDescent="0.2">
      <c r="A29" s="24" t="s">
        <v>325</v>
      </c>
      <c r="B29" s="115" t="s">
        <v>326</v>
      </c>
      <c r="C29" s="119">
        <f>C30</f>
        <v>1840224.1</v>
      </c>
      <c r="D29" s="119">
        <f t="shared" ref="D29:G29" si="3">D30</f>
        <v>0</v>
      </c>
      <c r="E29" s="119">
        <f t="shared" si="3"/>
        <v>0</v>
      </c>
      <c r="F29" s="119">
        <f>F30</f>
        <v>1324768.6000000001</v>
      </c>
      <c r="G29" s="119">
        <f t="shared" si="3"/>
        <v>1329023.1000000001</v>
      </c>
    </row>
    <row r="30" spans="1:7" ht="36" x14ac:dyDescent="0.2">
      <c r="A30" s="120" t="s">
        <v>618</v>
      </c>
      <c r="B30" s="121" t="s">
        <v>327</v>
      </c>
      <c r="C30" s="113">
        <v>1840224.1</v>
      </c>
      <c r="D30" s="113"/>
      <c r="E30" s="113"/>
      <c r="F30" s="113">
        <v>1324768.6000000001</v>
      </c>
      <c r="G30" s="113">
        <v>1329023.1000000001</v>
      </c>
    </row>
    <row r="31" spans="1:7" ht="12.75" customHeight="1" x14ac:dyDescent="0.2">
      <c r="A31" s="235" t="s">
        <v>328</v>
      </c>
      <c r="B31" s="236"/>
      <c r="C31" s="117">
        <f>C23+C27+C29</f>
        <v>74856</v>
      </c>
      <c r="D31" s="117">
        <f>D23+D27+D29</f>
        <v>-47400</v>
      </c>
      <c r="E31" s="117">
        <f>E23+E27+E29</f>
        <v>-47400</v>
      </c>
      <c r="F31" s="117">
        <f>F23+F27+F29</f>
        <v>3905.2000000001863</v>
      </c>
      <c r="G31" s="117">
        <f>G23+G27+G29</f>
        <v>0</v>
      </c>
    </row>
  </sheetData>
  <mergeCells count="8">
    <mergeCell ref="A31:B31"/>
    <mergeCell ref="A17:G17"/>
    <mergeCell ref="A20:A22"/>
    <mergeCell ref="B20:B22"/>
    <mergeCell ref="C20:G20"/>
    <mergeCell ref="C21:C22"/>
    <mergeCell ref="D21:E21"/>
    <mergeCell ref="F21:G2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J67"/>
  <sheetViews>
    <sheetView view="pageBreakPreview" zoomScale="60" zoomScaleNormal="100" workbookViewId="0">
      <selection activeCell="I7" sqref="I7"/>
    </sheetView>
  </sheetViews>
  <sheetFormatPr defaultColWidth="9.140625" defaultRowHeight="14.25" x14ac:dyDescent="0.2"/>
  <cols>
    <col min="1" max="1" width="3" style="19" customWidth="1"/>
    <col min="2" max="2" width="3.140625" customWidth="1"/>
    <col min="3" max="3" width="3.28515625" customWidth="1"/>
    <col min="4" max="4" width="42.7109375" customWidth="1"/>
    <col min="5" max="5" width="12.42578125" customWidth="1"/>
    <col min="6" max="6" width="13.140625" customWidth="1"/>
    <col min="7" max="7" width="12.42578125" customWidth="1"/>
  </cols>
  <sheetData>
    <row r="1" spans="1:7" x14ac:dyDescent="0.2">
      <c r="D1" s="87" t="s">
        <v>562</v>
      </c>
      <c r="E1" s="7"/>
    </row>
    <row r="2" spans="1:7" x14ac:dyDescent="0.2">
      <c r="D2" s="87" t="s">
        <v>565</v>
      </c>
      <c r="E2" s="7"/>
    </row>
    <row r="3" spans="1:7" x14ac:dyDescent="0.2">
      <c r="D3" s="87" t="s">
        <v>828</v>
      </c>
      <c r="E3" s="7"/>
    </row>
    <row r="4" spans="1:7" x14ac:dyDescent="0.2">
      <c r="D4" s="87" t="s">
        <v>621</v>
      </c>
      <c r="E4" s="7"/>
    </row>
    <row r="5" spans="1:7" x14ac:dyDescent="0.2">
      <c r="D5" s="87" t="s">
        <v>682</v>
      </c>
      <c r="E5" s="7"/>
    </row>
    <row r="6" spans="1:7" x14ac:dyDescent="0.2">
      <c r="D6" s="87" t="s">
        <v>143</v>
      </c>
      <c r="E6" s="7"/>
    </row>
    <row r="7" spans="1:7" x14ac:dyDescent="0.2">
      <c r="D7" s="87" t="s">
        <v>654</v>
      </c>
      <c r="E7" s="7"/>
    </row>
    <row r="8" spans="1:7" x14ac:dyDescent="0.2">
      <c r="E8" s="7"/>
    </row>
    <row r="9" spans="1:7" x14ac:dyDescent="0.2">
      <c r="D9" s="87" t="s">
        <v>562</v>
      </c>
      <c r="E9" s="7"/>
    </row>
    <row r="10" spans="1:7" x14ac:dyDescent="0.2">
      <c r="D10" s="87" t="s">
        <v>370</v>
      </c>
      <c r="E10" s="7"/>
    </row>
    <row r="11" spans="1:7" x14ac:dyDescent="0.2">
      <c r="D11" s="87" t="s">
        <v>684</v>
      </c>
      <c r="E11" s="7"/>
    </row>
    <row r="12" spans="1:7" x14ac:dyDescent="0.2">
      <c r="D12" s="87" t="s">
        <v>143</v>
      </c>
      <c r="E12" s="7"/>
    </row>
    <row r="13" spans="1:7" x14ac:dyDescent="0.2">
      <c r="D13" s="87" t="s">
        <v>654</v>
      </c>
      <c r="E13" s="7"/>
    </row>
    <row r="14" spans="1:7" x14ac:dyDescent="0.2">
      <c r="E14" s="7"/>
    </row>
    <row r="15" spans="1:7" x14ac:dyDescent="0.2">
      <c r="E15" s="7"/>
    </row>
    <row r="16" spans="1:7" ht="47.25" customHeight="1" x14ac:dyDescent="0.2">
      <c r="A16" s="237" t="s">
        <v>656</v>
      </c>
      <c r="B16" s="237"/>
      <c r="C16" s="237"/>
      <c r="D16" s="237"/>
      <c r="E16" s="237"/>
      <c r="F16" s="251"/>
      <c r="G16" s="251"/>
    </row>
    <row r="18" spans="1:10" x14ac:dyDescent="0.2">
      <c r="E18" s="6"/>
    </row>
    <row r="19" spans="1:10" ht="12.75" x14ac:dyDescent="0.2">
      <c r="A19" s="252" t="s">
        <v>87</v>
      </c>
      <c r="B19" s="247" t="s">
        <v>21</v>
      </c>
      <c r="C19" s="247" t="s">
        <v>26</v>
      </c>
      <c r="D19" s="241" t="s">
        <v>90</v>
      </c>
      <c r="E19" s="256" t="s">
        <v>27</v>
      </c>
      <c r="F19" s="236"/>
      <c r="G19" s="236"/>
    </row>
    <row r="20" spans="1:10" ht="12.75" x14ac:dyDescent="0.2">
      <c r="A20" s="253"/>
      <c r="B20" s="255"/>
      <c r="C20" s="255"/>
      <c r="D20" s="242"/>
      <c r="E20" s="247" t="s">
        <v>464</v>
      </c>
      <c r="F20" s="236" t="s">
        <v>140</v>
      </c>
      <c r="G20" s="236"/>
    </row>
    <row r="21" spans="1:10" ht="12.75" x14ac:dyDescent="0.2">
      <c r="A21" s="254"/>
      <c r="B21" s="248"/>
      <c r="C21" s="248"/>
      <c r="D21" s="243"/>
      <c r="E21" s="248"/>
      <c r="F21" s="143" t="s">
        <v>590</v>
      </c>
      <c r="G21" s="143" t="s">
        <v>655</v>
      </c>
    </row>
    <row r="22" spans="1:10" ht="12.75" x14ac:dyDescent="0.2">
      <c r="A22" s="2">
        <v>1</v>
      </c>
      <c r="B22" s="2">
        <v>2</v>
      </c>
      <c r="C22" s="2">
        <v>3</v>
      </c>
      <c r="D22" s="2">
        <v>4</v>
      </c>
      <c r="E22" s="2">
        <v>5</v>
      </c>
      <c r="F22" s="2">
        <v>6</v>
      </c>
      <c r="G22" s="2">
        <v>7</v>
      </c>
    </row>
    <row r="23" spans="1:10" ht="18" x14ac:dyDescent="0.25">
      <c r="A23" s="67"/>
      <c r="B23" s="12"/>
      <c r="C23" s="12"/>
      <c r="D23" s="9" t="s">
        <v>92</v>
      </c>
      <c r="E23" s="95">
        <f>E24+E32+E36+E41+E46+E53+E56+E60+E62+E64</f>
        <v>1815249.1</v>
      </c>
      <c r="F23" s="95">
        <f t="shared" ref="F23:G23" si="0">F24+F32+F36+F41+F46+F53+F56+F60+F62+F64</f>
        <v>1310028.5000000002</v>
      </c>
      <c r="G23" s="95">
        <f t="shared" si="0"/>
        <v>1299019.8</v>
      </c>
      <c r="J23" s="103"/>
    </row>
    <row r="24" spans="1:10" ht="15.75" x14ac:dyDescent="0.25">
      <c r="A24" s="15">
        <v>1</v>
      </c>
      <c r="B24" s="4" t="s">
        <v>88</v>
      </c>
      <c r="C24" s="11"/>
      <c r="D24" s="3" t="s">
        <v>91</v>
      </c>
      <c r="E24" s="92">
        <f>SUM(E25:E31)</f>
        <v>298809</v>
      </c>
      <c r="F24" s="92">
        <f>SUM(F25:F31)</f>
        <v>168006.2</v>
      </c>
      <c r="G24" s="92">
        <f>SUM(G25:G31)</f>
        <v>126199.4</v>
      </c>
    </row>
    <row r="25" spans="1:10" ht="38.25" x14ac:dyDescent="0.2">
      <c r="A25" s="67"/>
      <c r="B25" s="5" t="s">
        <v>88</v>
      </c>
      <c r="C25" s="5" t="s">
        <v>89</v>
      </c>
      <c r="D25" s="22" t="s">
        <v>17</v>
      </c>
      <c r="E25" s="39">
        <v>2787.2</v>
      </c>
      <c r="F25" s="39">
        <v>2266.3000000000002</v>
      </c>
      <c r="G25" s="39">
        <v>2266.3000000000002</v>
      </c>
      <c r="J25" s="198"/>
    </row>
    <row r="26" spans="1:10" ht="51" x14ac:dyDescent="0.2">
      <c r="A26" s="67"/>
      <c r="B26" s="5" t="s">
        <v>88</v>
      </c>
      <c r="C26" s="5" t="s">
        <v>93</v>
      </c>
      <c r="D26" s="22" t="s">
        <v>127</v>
      </c>
      <c r="E26" s="39">
        <f>4692.8-150</f>
        <v>4542.8</v>
      </c>
      <c r="F26" s="39">
        <v>4420.3</v>
      </c>
      <c r="G26" s="39">
        <v>4420.3</v>
      </c>
      <c r="J26" s="103"/>
    </row>
    <row r="27" spans="1:10" ht="51" x14ac:dyDescent="0.2">
      <c r="A27" s="67"/>
      <c r="B27" s="5" t="s">
        <v>88</v>
      </c>
      <c r="C27" s="5" t="s">
        <v>94</v>
      </c>
      <c r="D27" s="22" t="s">
        <v>120</v>
      </c>
      <c r="E27" s="39">
        <v>58005.1</v>
      </c>
      <c r="F27" s="39">
        <v>56289.9</v>
      </c>
      <c r="G27" s="39">
        <v>56293.7</v>
      </c>
      <c r="J27" s="103"/>
    </row>
    <row r="28" spans="1:10" x14ac:dyDescent="0.2">
      <c r="A28" s="67"/>
      <c r="B28" s="5" t="s">
        <v>88</v>
      </c>
      <c r="C28" s="5" t="s">
        <v>95</v>
      </c>
      <c r="D28" s="99" t="s">
        <v>288</v>
      </c>
      <c r="E28" s="107">
        <v>8.3000000000000007</v>
      </c>
      <c r="F28" s="107">
        <v>8.6</v>
      </c>
      <c r="G28" s="107">
        <v>98</v>
      </c>
    </row>
    <row r="29" spans="1:10" ht="38.25" x14ac:dyDescent="0.2">
      <c r="A29" s="67"/>
      <c r="B29" s="5" t="s">
        <v>88</v>
      </c>
      <c r="C29" s="5" t="s">
        <v>96</v>
      </c>
      <c r="D29" s="99" t="s">
        <v>10</v>
      </c>
      <c r="E29" s="39">
        <v>14240</v>
      </c>
      <c r="F29" s="39">
        <v>13696.9</v>
      </c>
      <c r="G29" s="39">
        <v>13696.9</v>
      </c>
    </row>
    <row r="30" spans="1:10" x14ac:dyDescent="0.2">
      <c r="A30" s="67"/>
      <c r="B30" s="5" t="s">
        <v>88</v>
      </c>
      <c r="C30" s="5" t="s">
        <v>102</v>
      </c>
      <c r="D30" s="99" t="s">
        <v>5</v>
      </c>
      <c r="E30" s="39">
        <f>500-100-153.7-18.6</f>
        <v>227.70000000000002</v>
      </c>
      <c r="F30" s="39">
        <v>500</v>
      </c>
      <c r="G30" s="39">
        <v>500</v>
      </c>
    </row>
    <row r="31" spans="1:10" x14ac:dyDescent="0.2">
      <c r="A31" s="67"/>
      <c r="B31" s="5" t="s">
        <v>88</v>
      </c>
      <c r="C31" s="5" t="s">
        <v>9</v>
      </c>
      <c r="D31" s="1" t="s">
        <v>97</v>
      </c>
      <c r="E31" s="39">
        <v>218997.9</v>
      </c>
      <c r="F31" s="39">
        <f>90824.1+0.1</f>
        <v>90824.200000000012</v>
      </c>
      <c r="G31" s="39">
        <v>48924.2</v>
      </c>
    </row>
    <row r="32" spans="1:10" ht="33.75" customHeight="1" x14ac:dyDescent="0.25">
      <c r="A32" s="15">
        <v>2</v>
      </c>
      <c r="B32" s="4" t="s">
        <v>93</v>
      </c>
      <c r="C32" s="3"/>
      <c r="D32" s="10" t="s">
        <v>98</v>
      </c>
      <c r="E32" s="92">
        <f>SUM(E33:E35)</f>
        <v>11336.2</v>
      </c>
      <c r="F32" s="92">
        <f t="shared" ref="F32:G32" si="1">SUM(F33:F35)</f>
        <v>9750</v>
      </c>
      <c r="G32" s="92">
        <f t="shared" si="1"/>
        <v>9720.6</v>
      </c>
    </row>
    <row r="33" spans="1:7" ht="15" x14ac:dyDescent="0.25">
      <c r="A33" s="15"/>
      <c r="B33" s="5" t="s">
        <v>93</v>
      </c>
      <c r="C33" s="5" t="s">
        <v>94</v>
      </c>
      <c r="D33" s="99" t="s">
        <v>18</v>
      </c>
      <c r="E33" s="39">
        <v>1414.2</v>
      </c>
      <c r="F33" s="39">
        <v>1414.2</v>
      </c>
      <c r="G33" s="39">
        <v>1414.2</v>
      </c>
    </row>
    <row r="34" spans="1:7" ht="51" x14ac:dyDescent="0.2">
      <c r="A34" s="67"/>
      <c r="B34" s="5" t="s">
        <v>93</v>
      </c>
      <c r="C34" s="5" t="s">
        <v>110</v>
      </c>
      <c r="D34" s="99" t="s">
        <v>372</v>
      </c>
      <c r="E34" s="39">
        <v>9888</v>
      </c>
      <c r="F34" s="39">
        <v>8272.4</v>
      </c>
      <c r="G34" s="39">
        <v>8272.4</v>
      </c>
    </row>
    <row r="35" spans="1:7" ht="38.25" x14ac:dyDescent="0.2">
      <c r="A35" s="67"/>
      <c r="B35" s="5" t="s">
        <v>93</v>
      </c>
      <c r="C35" s="5" t="s">
        <v>121</v>
      </c>
      <c r="D35" s="97" t="s">
        <v>22</v>
      </c>
      <c r="E35" s="39">
        <v>34</v>
      </c>
      <c r="F35" s="39">
        <v>63.4</v>
      </c>
      <c r="G35" s="39">
        <v>34</v>
      </c>
    </row>
    <row r="36" spans="1:7" ht="15.75" x14ac:dyDescent="0.25">
      <c r="A36" s="15">
        <v>3</v>
      </c>
      <c r="B36" s="4" t="s">
        <v>94</v>
      </c>
      <c r="C36" s="3"/>
      <c r="D36" s="10" t="s">
        <v>100</v>
      </c>
      <c r="E36" s="92">
        <f>SUM(E37:E40)</f>
        <v>244828.79999999999</v>
      </c>
      <c r="F36" s="92">
        <f>SUM(F37:F40)</f>
        <v>182614</v>
      </c>
      <c r="G36" s="92">
        <f>SUM(G37:G40)</f>
        <v>180426.30000000002</v>
      </c>
    </row>
    <row r="37" spans="1:7" x14ac:dyDescent="0.2">
      <c r="A37" s="67"/>
      <c r="B37" s="5" t="s">
        <v>94</v>
      </c>
      <c r="C37" s="5" t="s">
        <v>95</v>
      </c>
      <c r="D37" s="1" t="s">
        <v>103</v>
      </c>
      <c r="E37" s="39">
        <v>4254</v>
      </c>
      <c r="F37" s="39">
        <v>2222.9</v>
      </c>
      <c r="G37" s="39">
        <v>2222.9</v>
      </c>
    </row>
    <row r="38" spans="1:7" x14ac:dyDescent="0.2">
      <c r="A38" s="67"/>
      <c r="B38" s="5" t="s">
        <v>94</v>
      </c>
      <c r="C38" s="5" t="s">
        <v>101</v>
      </c>
      <c r="D38" s="1" t="s">
        <v>1</v>
      </c>
      <c r="E38" s="39">
        <v>31217.7</v>
      </c>
      <c r="F38" s="39">
        <v>30503.599999999999</v>
      </c>
      <c r="G38" s="39">
        <v>30447.1</v>
      </c>
    </row>
    <row r="39" spans="1:7" x14ac:dyDescent="0.2">
      <c r="A39" s="67"/>
      <c r="B39" s="5" t="s">
        <v>94</v>
      </c>
      <c r="C39" s="5" t="s">
        <v>99</v>
      </c>
      <c r="D39" s="1" t="s">
        <v>198</v>
      </c>
      <c r="E39" s="39">
        <f>207542.8+111.6+10.7</f>
        <v>207665.1</v>
      </c>
      <c r="F39" s="39">
        <v>148481.29999999999</v>
      </c>
      <c r="G39" s="1">
        <v>146350.1</v>
      </c>
    </row>
    <row r="40" spans="1:7" ht="25.5" x14ac:dyDescent="0.2">
      <c r="A40" s="67"/>
      <c r="B40" s="5" t="s">
        <v>94</v>
      </c>
      <c r="C40" s="5" t="s">
        <v>122</v>
      </c>
      <c r="D40" s="99" t="s">
        <v>4</v>
      </c>
      <c r="E40" s="39">
        <v>1692</v>
      </c>
      <c r="F40" s="39">
        <v>1406.2</v>
      </c>
      <c r="G40" s="39">
        <v>1406.2</v>
      </c>
    </row>
    <row r="41" spans="1:7" ht="15.75" x14ac:dyDescent="0.25">
      <c r="A41" s="15">
        <v>4</v>
      </c>
      <c r="B41" s="4" t="s">
        <v>95</v>
      </c>
      <c r="C41" s="5"/>
      <c r="D41" s="49" t="s">
        <v>47</v>
      </c>
      <c r="E41" s="92">
        <f>SUM(E42:E45)</f>
        <v>312027.2</v>
      </c>
      <c r="F41" s="92">
        <f t="shared" ref="F41:G41" si="2">SUM(F42:F45)</f>
        <v>52075.799999999996</v>
      </c>
      <c r="G41" s="92">
        <f t="shared" si="2"/>
        <v>47947</v>
      </c>
    </row>
    <row r="42" spans="1:7" ht="15" x14ac:dyDescent="0.25">
      <c r="A42" s="15"/>
      <c r="B42" s="16" t="s">
        <v>95</v>
      </c>
      <c r="C42" s="16" t="s">
        <v>88</v>
      </c>
      <c r="D42" s="51" t="s">
        <v>42</v>
      </c>
      <c r="E42" s="41">
        <f>4389.3+150+18.6</f>
        <v>4557.9000000000005</v>
      </c>
      <c r="F42" s="39">
        <v>5761.3</v>
      </c>
      <c r="G42" s="39">
        <v>2611.3000000000002</v>
      </c>
    </row>
    <row r="43" spans="1:7" ht="15" x14ac:dyDescent="0.25">
      <c r="A43" s="15"/>
      <c r="B43" s="16" t="s">
        <v>95</v>
      </c>
      <c r="C43" s="16" t="s">
        <v>89</v>
      </c>
      <c r="D43" s="51" t="s">
        <v>41</v>
      </c>
      <c r="E43" s="41">
        <v>48777.4</v>
      </c>
      <c r="F43" s="39">
        <v>13487.8</v>
      </c>
      <c r="G43" s="39">
        <v>12484</v>
      </c>
    </row>
    <row r="44" spans="1:7" x14ac:dyDescent="0.2">
      <c r="A44" s="67"/>
      <c r="B44" s="16" t="s">
        <v>95</v>
      </c>
      <c r="C44" s="16" t="s">
        <v>93</v>
      </c>
      <c r="D44" s="51" t="s">
        <v>48</v>
      </c>
      <c r="E44" s="41">
        <v>257311</v>
      </c>
      <c r="F44" s="147">
        <v>31645.8</v>
      </c>
      <c r="G44" s="1">
        <v>31670.799999999999</v>
      </c>
    </row>
    <row r="45" spans="1:7" ht="27" customHeight="1" x14ac:dyDescent="0.2">
      <c r="A45" s="67"/>
      <c r="B45" s="16" t="s">
        <v>95</v>
      </c>
      <c r="C45" s="82" t="s">
        <v>95</v>
      </c>
      <c r="D45" s="97" t="s">
        <v>478</v>
      </c>
      <c r="E45" s="41">
        <v>1380.9</v>
      </c>
      <c r="F45" s="41">
        <v>1180.9000000000001</v>
      </c>
      <c r="G45" s="41">
        <v>1180.9000000000001</v>
      </c>
    </row>
    <row r="46" spans="1:7" ht="15.75" x14ac:dyDescent="0.25">
      <c r="A46" s="15">
        <v>5</v>
      </c>
      <c r="B46" s="4" t="s">
        <v>104</v>
      </c>
      <c r="C46" s="3"/>
      <c r="D46" s="10" t="s">
        <v>105</v>
      </c>
      <c r="E46" s="92">
        <f>SUM(E47:E52)</f>
        <v>786585.10000000009</v>
      </c>
      <c r="F46" s="92">
        <f t="shared" ref="F46:G46" si="3">SUM(F47:F52)</f>
        <v>774592.90000000014</v>
      </c>
      <c r="G46" s="92">
        <f t="shared" si="3"/>
        <v>805608.30000000016</v>
      </c>
    </row>
    <row r="47" spans="1:7" x14ac:dyDescent="0.2">
      <c r="A47" s="67"/>
      <c r="B47" s="5" t="s">
        <v>104</v>
      </c>
      <c r="C47" s="5" t="s">
        <v>88</v>
      </c>
      <c r="D47" s="1" t="s">
        <v>107</v>
      </c>
      <c r="E47" s="39">
        <v>185012.7</v>
      </c>
      <c r="F47" s="39">
        <v>190754.2</v>
      </c>
      <c r="G47" s="39">
        <v>196679.9</v>
      </c>
    </row>
    <row r="48" spans="1:7" x14ac:dyDescent="0.2">
      <c r="A48" s="67"/>
      <c r="B48" s="5" t="s">
        <v>104</v>
      </c>
      <c r="C48" s="5" t="s">
        <v>89</v>
      </c>
      <c r="D48" s="1" t="s">
        <v>108</v>
      </c>
      <c r="E48" s="39">
        <v>495371.4</v>
      </c>
      <c r="F48" s="39">
        <f>481627.1</f>
        <v>481627.1</v>
      </c>
      <c r="G48" s="39">
        <v>503335.4</v>
      </c>
    </row>
    <row r="49" spans="1:7" x14ac:dyDescent="0.2">
      <c r="A49" s="67"/>
      <c r="B49" s="5" t="s">
        <v>104</v>
      </c>
      <c r="C49" s="5" t="s">
        <v>93</v>
      </c>
      <c r="D49" s="1" t="s">
        <v>156</v>
      </c>
      <c r="E49" s="39">
        <v>77431.399999999994</v>
      </c>
      <c r="F49" s="1">
        <v>78505.399999999994</v>
      </c>
      <c r="G49" s="1">
        <v>81871.8</v>
      </c>
    </row>
    <row r="50" spans="1:7" ht="25.5" x14ac:dyDescent="0.2">
      <c r="A50" s="67"/>
      <c r="B50" s="5" t="s">
        <v>104</v>
      </c>
      <c r="C50" s="5" t="s">
        <v>95</v>
      </c>
      <c r="D50" s="99" t="s">
        <v>2</v>
      </c>
      <c r="E50" s="39">
        <v>193.2</v>
      </c>
      <c r="F50" s="39">
        <f>130-15</f>
        <v>115</v>
      </c>
      <c r="G50" s="39">
        <v>130</v>
      </c>
    </row>
    <row r="51" spans="1:7" x14ac:dyDescent="0.2">
      <c r="A51" s="67"/>
      <c r="B51" s="5" t="s">
        <v>104</v>
      </c>
      <c r="C51" s="5" t="s">
        <v>104</v>
      </c>
      <c r="D51" s="1" t="s">
        <v>155</v>
      </c>
      <c r="E51" s="39">
        <v>12345</v>
      </c>
      <c r="F51" s="1">
        <v>7727.4</v>
      </c>
      <c r="G51" s="1">
        <v>7727.4</v>
      </c>
    </row>
    <row r="52" spans="1:7" x14ac:dyDescent="0.2">
      <c r="A52" s="67"/>
      <c r="B52" s="5" t="s">
        <v>104</v>
      </c>
      <c r="C52" s="5" t="s">
        <v>99</v>
      </c>
      <c r="D52" s="1" t="s">
        <v>109</v>
      </c>
      <c r="E52" s="39">
        <f>16181.4+50</f>
        <v>16231.4</v>
      </c>
      <c r="F52" s="39">
        <v>15863.8</v>
      </c>
      <c r="G52" s="39">
        <v>15863.8</v>
      </c>
    </row>
    <row r="53" spans="1:7" ht="15.75" x14ac:dyDescent="0.25">
      <c r="A53" s="15">
        <v>6</v>
      </c>
      <c r="B53" s="4" t="s">
        <v>101</v>
      </c>
      <c r="C53" s="3"/>
      <c r="D53" s="10" t="s">
        <v>20</v>
      </c>
      <c r="E53" s="92">
        <f>SUM(E54:E55)</f>
        <v>109818.40000000001</v>
      </c>
      <c r="F53" s="92">
        <f t="shared" ref="F53:G53" si="4">SUM(F54:F55)</f>
        <v>96314.5</v>
      </c>
      <c r="G53" s="92">
        <f t="shared" si="4"/>
        <v>100585.9</v>
      </c>
    </row>
    <row r="54" spans="1:7" x14ac:dyDescent="0.2">
      <c r="A54" s="67"/>
      <c r="B54" s="5" t="s">
        <v>101</v>
      </c>
      <c r="C54" s="5" t="s">
        <v>88</v>
      </c>
      <c r="D54" s="1" t="s">
        <v>106</v>
      </c>
      <c r="E54" s="39">
        <v>105579.8</v>
      </c>
      <c r="F54" s="39">
        <v>92286</v>
      </c>
      <c r="G54" s="1">
        <v>96557.4</v>
      </c>
    </row>
    <row r="55" spans="1:7" ht="25.5" x14ac:dyDescent="0.2">
      <c r="A55" s="67"/>
      <c r="B55" s="5" t="s">
        <v>101</v>
      </c>
      <c r="C55" s="5" t="s">
        <v>94</v>
      </c>
      <c r="D55" s="99" t="s">
        <v>7</v>
      </c>
      <c r="E55" s="39">
        <f>4138.6+100</f>
        <v>4238.6000000000004</v>
      </c>
      <c r="F55" s="39">
        <v>4028.5</v>
      </c>
      <c r="G55" s="39">
        <v>4028.5</v>
      </c>
    </row>
    <row r="56" spans="1:7" ht="15.75" x14ac:dyDescent="0.25">
      <c r="A56" s="15">
        <v>7</v>
      </c>
      <c r="B56" s="4" t="s">
        <v>110</v>
      </c>
      <c r="C56" s="3"/>
      <c r="D56" s="10" t="s">
        <v>111</v>
      </c>
      <c r="E56" s="92">
        <f>SUM(E57:E59)</f>
        <v>40632.6</v>
      </c>
      <c r="F56" s="92">
        <f t="shared" ref="F56:G56" si="5">SUM(F57:F59)</f>
        <v>22431</v>
      </c>
      <c r="G56" s="92">
        <f t="shared" si="5"/>
        <v>24288.2</v>
      </c>
    </row>
    <row r="57" spans="1:7" x14ac:dyDescent="0.2">
      <c r="A57" s="67"/>
      <c r="B57" s="5" t="s">
        <v>110</v>
      </c>
      <c r="C57" s="5" t="s">
        <v>88</v>
      </c>
      <c r="D57" s="1" t="s">
        <v>112</v>
      </c>
      <c r="E57" s="39">
        <v>3642</v>
      </c>
      <c r="F57" s="39">
        <v>2338.3000000000002</v>
      </c>
      <c r="G57" s="39">
        <v>2338.3000000000002</v>
      </c>
    </row>
    <row r="58" spans="1:7" x14ac:dyDescent="0.2">
      <c r="A58" s="67"/>
      <c r="B58" s="5" t="s">
        <v>110</v>
      </c>
      <c r="C58" s="5" t="s">
        <v>93</v>
      </c>
      <c r="D58" s="1" t="s">
        <v>116</v>
      </c>
      <c r="E58" s="39">
        <f>1660+100</f>
        <v>1760</v>
      </c>
      <c r="F58" s="39">
        <v>1610</v>
      </c>
      <c r="G58" s="39">
        <v>1610</v>
      </c>
    </row>
    <row r="59" spans="1:7" x14ac:dyDescent="0.2">
      <c r="A59" s="67"/>
      <c r="B59" s="5" t="s">
        <v>110</v>
      </c>
      <c r="C59" s="5" t="s">
        <v>94</v>
      </c>
      <c r="D59" s="1" t="s">
        <v>13</v>
      </c>
      <c r="E59" s="39">
        <v>35230.6</v>
      </c>
      <c r="F59" s="39">
        <v>18482.7</v>
      </c>
      <c r="G59" s="39">
        <v>20339.900000000001</v>
      </c>
    </row>
    <row r="60" spans="1:7" ht="15.75" x14ac:dyDescent="0.25">
      <c r="A60" s="15">
        <v>8</v>
      </c>
      <c r="B60" s="4" t="s">
        <v>102</v>
      </c>
      <c r="C60" s="5"/>
      <c r="D60" s="10" t="s">
        <v>123</v>
      </c>
      <c r="E60" s="92">
        <f>SUM(E61:E61)</f>
        <v>6706.1</v>
      </c>
      <c r="F60" s="92">
        <f t="shared" ref="F60:G60" si="6">SUM(F61:F61)</f>
        <v>706.1</v>
      </c>
      <c r="G60" s="92">
        <f t="shared" si="6"/>
        <v>706.1</v>
      </c>
    </row>
    <row r="61" spans="1:7" x14ac:dyDescent="0.2">
      <c r="A61" s="67"/>
      <c r="B61" s="5" t="s">
        <v>102</v>
      </c>
      <c r="C61" s="5" t="s">
        <v>89</v>
      </c>
      <c r="D61" s="99" t="s">
        <v>6</v>
      </c>
      <c r="E61" s="39">
        <v>6706.1</v>
      </c>
      <c r="F61" s="39">
        <v>706.1</v>
      </c>
      <c r="G61" s="39">
        <v>706.1</v>
      </c>
    </row>
    <row r="62" spans="1:7" ht="15.75" x14ac:dyDescent="0.25">
      <c r="A62" s="15">
        <v>9</v>
      </c>
      <c r="B62" s="4" t="s">
        <v>122</v>
      </c>
      <c r="C62" s="5"/>
      <c r="D62" s="10" t="s">
        <v>8</v>
      </c>
      <c r="E62" s="92">
        <f>SUM(E63:E63)</f>
        <v>4480.7</v>
      </c>
      <c r="F62" s="92">
        <f t="shared" ref="F62:G62" si="7">SUM(F63:F63)</f>
        <v>3538</v>
      </c>
      <c r="G62" s="92">
        <f t="shared" si="7"/>
        <v>3538</v>
      </c>
    </row>
    <row r="63" spans="1:7" ht="25.5" x14ac:dyDescent="0.2">
      <c r="A63" s="67"/>
      <c r="B63" s="5" t="s">
        <v>122</v>
      </c>
      <c r="C63" s="5" t="s">
        <v>94</v>
      </c>
      <c r="D63" s="97" t="s">
        <v>14</v>
      </c>
      <c r="E63" s="39">
        <v>4480.7</v>
      </c>
      <c r="F63" s="39">
        <v>3538</v>
      </c>
      <c r="G63" s="39">
        <v>3538</v>
      </c>
    </row>
    <row r="64" spans="1:7" ht="31.5" x14ac:dyDescent="0.25">
      <c r="A64" s="15">
        <v>10</v>
      </c>
      <c r="B64" s="4" t="s">
        <v>9</v>
      </c>
      <c r="C64" s="5"/>
      <c r="D64" s="10" t="s">
        <v>600</v>
      </c>
      <c r="E64" s="92">
        <f>SUM(E65:E65)</f>
        <v>25</v>
      </c>
      <c r="F64" s="92">
        <f t="shared" ref="F64:G64" si="8">SUM(F65:F65)</f>
        <v>0</v>
      </c>
      <c r="G64" s="92">
        <f t="shared" si="8"/>
        <v>0</v>
      </c>
    </row>
    <row r="65" spans="1:7" ht="25.5" x14ac:dyDescent="0.2">
      <c r="A65" s="67"/>
      <c r="B65" s="146">
        <v>13</v>
      </c>
      <c r="C65" s="5" t="s">
        <v>88</v>
      </c>
      <c r="D65" s="99" t="s">
        <v>601</v>
      </c>
      <c r="E65" s="39">
        <v>25</v>
      </c>
      <c r="F65" s="39"/>
      <c r="G65" s="39"/>
    </row>
    <row r="67" spans="1:7" s="19" customFormat="1" x14ac:dyDescent="0.2">
      <c r="B67" s="19" t="s">
        <v>79</v>
      </c>
    </row>
  </sheetData>
  <mergeCells count="8">
    <mergeCell ref="A16:G16"/>
    <mergeCell ref="A19:A21"/>
    <mergeCell ref="B19:B21"/>
    <mergeCell ref="C19:C21"/>
    <mergeCell ref="D19:D21"/>
    <mergeCell ref="E19:G19"/>
    <mergeCell ref="E20:E21"/>
    <mergeCell ref="F20:G20"/>
  </mergeCells>
  <phoneticPr fontId="2" type="noConversion"/>
  <pageMargins left="0.75" right="0.75" top="1" bottom="1" header="0.5" footer="0.5"/>
  <pageSetup paperSize="9" scale="97" fitToHeight="0" orientation="portrait" r:id="rId1"/>
  <headerFooter alignWithMargins="0">
    <oddFooter>&amp;R&amp;P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96"/>
  <sheetViews>
    <sheetView view="pageBreakPreview" zoomScale="60" zoomScaleNormal="100" workbookViewId="0">
      <selection activeCell="G8" sqref="G8"/>
    </sheetView>
  </sheetViews>
  <sheetFormatPr defaultColWidth="9.140625" defaultRowHeight="12.75" x14ac:dyDescent="0.2"/>
  <cols>
    <col min="1" max="1" width="2.5703125" customWidth="1"/>
    <col min="2" max="2" width="2.42578125" customWidth="1"/>
    <col min="3" max="3" width="11.5703125" customWidth="1"/>
    <col min="4" max="4" width="3.28515625" customWidth="1"/>
    <col min="5" max="5" width="35.28515625" customWidth="1"/>
    <col min="6" max="6" width="12.140625" customWidth="1"/>
    <col min="7" max="7" width="12" customWidth="1"/>
    <col min="8" max="8" width="12.5703125" customWidth="1"/>
    <col min="10" max="10" width="10.140625" bestFit="1" customWidth="1"/>
  </cols>
  <sheetData>
    <row r="1" spans="1:8" x14ac:dyDescent="0.2">
      <c r="E1" s="85" t="s">
        <v>563</v>
      </c>
      <c r="F1" s="85"/>
      <c r="G1" s="86"/>
      <c r="H1" s="86"/>
    </row>
    <row r="2" spans="1:8" x14ac:dyDescent="0.2">
      <c r="E2" s="85" t="s">
        <v>565</v>
      </c>
      <c r="F2" s="85"/>
      <c r="G2" s="86"/>
      <c r="H2" s="86"/>
    </row>
    <row r="3" spans="1:8" x14ac:dyDescent="0.2">
      <c r="E3" s="85" t="s">
        <v>829</v>
      </c>
      <c r="F3" s="85"/>
      <c r="G3" s="86"/>
      <c r="H3" s="86"/>
    </row>
    <row r="4" spans="1:8" x14ac:dyDescent="0.2">
      <c r="E4" s="85" t="s">
        <v>621</v>
      </c>
      <c r="F4" s="85"/>
      <c r="G4" s="86"/>
      <c r="H4" s="86"/>
    </row>
    <row r="5" spans="1:8" x14ac:dyDescent="0.2">
      <c r="E5" s="85" t="s">
        <v>682</v>
      </c>
      <c r="F5" s="85"/>
      <c r="G5" s="86"/>
      <c r="H5" s="86"/>
    </row>
    <row r="6" spans="1:8" x14ac:dyDescent="0.2">
      <c r="E6" s="85" t="s">
        <v>143</v>
      </c>
      <c r="F6" s="85"/>
      <c r="G6" s="86"/>
      <c r="H6" s="86"/>
    </row>
    <row r="7" spans="1:8" x14ac:dyDescent="0.2">
      <c r="E7" s="85" t="s">
        <v>654</v>
      </c>
      <c r="F7" s="85"/>
      <c r="G7" s="86"/>
      <c r="H7" s="86"/>
    </row>
    <row r="8" spans="1:8" x14ac:dyDescent="0.2">
      <c r="E8" s="85"/>
      <c r="F8" s="85"/>
      <c r="G8" s="86"/>
      <c r="H8" s="86"/>
    </row>
    <row r="9" spans="1:8" x14ac:dyDescent="0.2">
      <c r="E9" s="85" t="s">
        <v>563</v>
      </c>
      <c r="F9" s="85"/>
      <c r="G9" s="86"/>
      <c r="H9" s="86"/>
    </row>
    <row r="10" spans="1:8" x14ac:dyDescent="0.2">
      <c r="E10" s="85" t="s">
        <v>370</v>
      </c>
      <c r="F10" s="85"/>
      <c r="G10" s="86"/>
      <c r="H10" s="86"/>
    </row>
    <row r="11" spans="1:8" x14ac:dyDescent="0.2">
      <c r="E11" s="85" t="s">
        <v>685</v>
      </c>
      <c r="F11" s="85"/>
      <c r="G11" s="86"/>
      <c r="H11" s="86"/>
    </row>
    <row r="12" spans="1:8" x14ac:dyDescent="0.2">
      <c r="E12" s="85" t="s">
        <v>143</v>
      </c>
      <c r="F12" s="85"/>
      <c r="G12" s="86"/>
      <c r="H12" s="86"/>
    </row>
    <row r="13" spans="1:8" x14ac:dyDescent="0.2">
      <c r="E13" s="85" t="s">
        <v>654</v>
      </c>
      <c r="F13" s="85"/>
      <c r="G13" s="86"/>
      <c r="H13" s="86"/>
    </row>
    <row r="14" spans="1:8" x14ac:dyDescent="0.2">
      <c r="E14" s="85"/>
      <c r="F14" s="85"/>
      <c r="G14" s="86"/>
      <c r="H14" s="86"/>
    </row>
    <row r="15" spans="1:8" x14ac:dyDescent="0.2">
      <c r="E15" s="85"/>
      <c r="F15" s="85"/>
      <c r="G15" s="86"/>
      <c r="H15" s="86"/>
    </row>
    <row r="16" spans="1:8" ht="60" customHeight="1" x14ac:dyDescent="0.2">
      <c r="A16" s="237" t="s">
        <v>657</v>
      </c>
      <c r="B16" s="257"/>
      <c r="C16" s="257"/>
      <c r="D16" s="257"/>
      <c r="E16" s="257"/>
      <c r="F16" s="257"/>
      <c r="G16" s="258"/>
      <c r="H16" s="258"/>
    </row>
    <row r="18" spans="1:8" x14ac:dyDescent="0.2">
      <c r="F18" s="6"/>
    </row>
    <row r="19" spans="1:8" x14ac:dyDescent="0.2">
      <c r="A19" s="241" t="s">
        <v>117</v>
      </c>
      <c r="B19" s="241" t="s">
        <v>118</v>
      </c>
      <c r="C19" s="241" t="s">
        <v>119</v>
      </c>
      <c r="D19" s="241" t="s">
        <v>113</v>
      </c>
      <c r="E19" s="241" t="s">
        <v>90</v>
      </c>
      <c r="F19" s="256" t="s">
        <v>27</v>
      </c>
      <c r="G19" s="236"/>
      <c r="H19" s="236"/>
    </row>
    <row r="20" spans="1:8" x14ac:dyDescent="0.2">
      <c r="A20" s="242"/>
      <c r="B20" s="242"/>
      <c r="C20" s="242"/>
      <c r="D20" s="242"/>
      <c r="E20" s="242"/>
      <c r="F20" s="247" t="s">
        <v>464</v>
      </c>
      <c r="G20" s="236" t="s">
        <v>140</v>
      </c>
      <c r="H20" s="236"/>
    </row>
    <row r="21" spans="1:8" x14ac:dyDescent="0.2">
      <c r="A21" s="243"/>
      <c r="B21" s="243"/>
      <c r="C21" s="243"/>
      <c r="D21" s="243"/>
      <c r="E21" s="243"/>
      <c r="F21" s="248"/>
      <c r="G21" s="1" t="s">
        <v>590</v>
      </c>
      <c r="H21" s="1" t="s">
        <v>655</v>
      </c>
    </row>
    <row r="22" spans="1:8" x14ac:dyDescent="0.2">
      <c r="A22" s="2">
        <v>1</v>
      </c>
      <c r="B22" s="2">
        <v>2</v>
      </c>
      <c r="C22" s="2">
        <v>3</v>
      </c>
      <c r="D22" s="2">
        <v>4</v>
      </c>
      <c r="E22" s="2">
        <v>5</v>
      </c>
      <c r="F22" s="2">
        <v>6</v>
      </c>
      <c r="G22" s="2">
        <v>7</v>
      </c>
      <c r="H22" s="2">
        <v>8</v>
      </c>
    </row>
    <row r="23" spans="1:8" ht="18" x14ac:dyDescent="0.25">
      <c r="A23" s="12"/>
      <c r="B23" s="12"/>
      <c r="C23" s="12"/>
      <c r="D23" s="12"/>
      <c r="E23" s="9" t="s">
        <v>92</v>
      </c>
      <c r="F23" s="217">
        <f>F24+F119+F162+F259+F406+F584+F629+F664+F676+F692</f>
        <v>1815249.1</v>
      </c>
      <c r="G23" s="217">
        <f>G24+G119+G162+G259+G406+G584+G629+G664+G676+G692</f>
        <v>1310028.5000000002</v>
      </c>
      <c r="H23" s="217">
        <f>H24+H119+H162+H259+H406+H584+H629+H664+H676+H692</f>
        <v>1299019.8</v>
      </c>
    </row>
    <row r="24" spans="1:8" ht="31.5" x14ac:dyDescent="0.25">
      <c r="A24" s="4" t="s">
        <v>88</v>
      </c>
      <c r="B24" s="11"/>
      <c r="C24" s="11"/>
      <c r="D24" s="11"/>
      <c r="E24" s="10" t="s">
        <v>91</v>
      </c>
      <c r="F24" s="218">
        <f>F25+F30+F37+F47+F52+F64+F69</f>
        <v>298809</v>
      </c>
      <c r="G24" s="218">
        <f>G25+G30+G37+G47+G52+G64+G69</f>
        <v>168006.19999999998</v>
      </c>
      <c r="H24" s="218">
        <f>H25+H30+H37+H47+H52+H64+H69</f>
        <v>126199.4</v>
      </c>
    </row>
    <row r="25" spans="1:8" ht="51" x14ac:dyDescent="0.2">
      <c r="A25" s="30" t="s">
        <v>88</v>
      </c>
      <c r="B25" s="30" t="s">
        <v>89</v>
      </c>
      <c r="C25" s="30"/>
      <c r="D25" s="30"/>
      <c r="E25" s="46" t="s">
        <v>17</v>
      </c>
      <c r="F25" s="219">
        <f t="shared" ref="F25:H28" si="0">F26</f>
        <v>2787.2000000000003</v>
      </c>
      <c r="G25" s="219">
        <f t="shared" si="0"/>
        <v>2266.3000000000002</v>
      </c>
      <c r="H25" s="219">
        <f t="shared" si="0"/>
        <v>2266.3000000000002</v>
      </c>
    </row>
    <row r="26" spans="1:8" ht="25.5" x14ac:dyDescent="0.2">
      <c r="A26" s="16" t="s">
        <v>88</v>
      </c>
      <c r="B26" s="16" t="s">
        <v>89</v>
      </c>
      <c r="C26" s="79">
        <v>9900000000</v>
      </c>
      <c r="D26" s="16"/>
      <c r="E26" s="55" t="s">
        <v>144</v>
      </c>
      <c r="F26" s="113">
        <f t="shared" si="0"/>
        <v>2787.2000000000003</v>
      </c>
      <c r="G26" s="113">
        <f t="shared" si="0"/>
        <v>2266.3000000000002</v>
      </c>
      <c r="H26" s="113">
        <f t="shared" si="0"/>
        <v>2266.3000000000002</v>
      </c>
    </row>
    <row r="27" spans="1:8" ht="38.25" x14ac:dyDescent="0.2">
      <c r="A27" s="16" t="s">
        <v>88</v>
      </c>
      <c r="B27" s="16" t="s">
        <v>89</v>
      </c>
      <c r="C27" s="79">
        <v>9980000000</v>
      </c>
      <c r="D27" s="16"/>
      <c r="E27" s="54" t="s">
        <v>29</v>
      </c>
      <c r="F27" s="113">
        <f t="shared" si="0"/>
        <v>2787.2000000000003</v>
      </c>
      <c r="G27" s="113">
        <f t="shared" si="0"/>
        <v>2266.3000000000002</v>
      </c>
      <c r="H27" s="113">
        <f t="shared" si="0"/>
        <v>2266.3000000000002</v>
      </c>
    </row>
    <row r="28" spans="1:8" x14ac:dyDescent="0.2">
      <c r="A28" s="16" t="s">
        <v>88</v>
      </c>
      <c r="B28" s="16" t="s">
        <v>89</v>
      </c>
      <c r="C28" s="79">
        <v>9980022100</v>
      </c>
      <c r="D28" s="16"/>
      <c r="E28" s="99" t="s">
        <v>114</v>
      </c>
      <c r="F28" s="220">
        <f t="shared" si="0"/>
        <v>2787.2000000000003</v>
      </c>
      <c r="G28" s="220">
        <f t="shared" si="0"/>
        <v>2266.3000000000002</v>
      </c>
      <c r="H28" s="220">
        <f t="shared" si="0"/>
        <v>2266.3000000000002</v>
      </c>
    </row>
    <row r="29" spans="1:8" ht="38.25" x14ac:dyDescent="0.2">
      <c r="A29" s="16" t="s">
        <v>88</v>
      </c>
      <c r="B29" s="16" t="s">
        <v>89</v>
      </c>
      <c r="C29" s="79">
        <v>9980022100</v>
      </c>
      <c r="D29" s="16" t="s">
        <v>62</v>
      </c>
      <c r="E29" s="99" t="s">
        <v>78</v>
      </c>
      <c r="F29" s="220">
        <f>2266.3+81.4+439.5</f>
        <v>2787.2000000000003</v>
      </c>
      <c r="G29" s="220">
        <v>2266.3000000000002</v>
      </c>
      <c r="H29" s="220">
        <v>2266.3000000000002</v>
      </c>
    </row>
    <row r="30" spans="1:8" ht="64.5" x14ac:dyDescent="0.25">
      <c r="A30" s="30" t="s">
        <v>88</v>
      </c>
      <c r="B30" s="30" t="s">
        <v>93</v>
      </c>
      <c r="C30" s="31"/>
      <c r="D30" s="31"/>
      <c r="E30" s="48" t="s">
        <v>127</v>
      </c>
      <c r="F30" s="221">
        <f>F31</f>
        <v>4542.8</v>
      </c>
      <c r="G30" s="221">
        <f>G31</f>
        <v>4420.3</v>
      </c>
      <c r="H30" s="221">
        <f>H31</f>
        <v>4420.3</v>
      </c>
    </row>
    <row r="31" spans="1:8" ht="38.25" x14ac:dyDescent="0.2">
      <c r="A31" s="16" t="s">
        <v>88</v>
      </c>
      <c r="B31" s="16" t="s">
        <v>93</v>
      </c>
      <c r="C31" s="79">
        <v>9990000000</v>
      </c>
      <c r="D31" s="16"/>
      <c r="E31" s="54" t="s">
        <v>28</v>
      </c>
      <c r="F31" s="113">
        <f>F32+F34</f>
        <v>4542.8</v>
      </c>
      <c r="G31" s="113">
        <f>G32+G34</f>
        <v>4420.3</v>
      </c>
      <c r="H31" s="113">
        <f>H32+H34</f>
        <v>4420.3</v>
      </c>
    </row>
    <row r="32" spans="1:8" x14ac:dyDescent="0.2">
      <c r="A32" s="16" t="s">
        <v>88</v>
      </c>
      <c r="B32" s="16" t="s">
        <v>93</v>
      </c>
      <c r="C32" s="79">
        <v>9990022400</v>
      </c>
      <c r="D32" s="16"/>
      <c r="E32" s="98" t="s">
        <v>139</v>
      </c>
      <c r="F32" s="113">
        <f>F33</f>
        <v>1714.7</v>
      </c>
      <c r="G32" s="113">
        <f>G33</f>
        <v>1652.8</v>
      </c>
      <c r="H32" s="113">
        <f>H33</f>
        <v>1652.8</v>
      </c>
    </row>
    <row r="33" spans="1:10" ht="38.25" x14ac:dyDescent="0.2">
      <c r="A33" s="16" t="s">
        <v>88</v>
      </c>
      <c r="B33" s="16" t="s">
        <v>93</v>
      </c>
      <c r="C33" s="79">
        <v>9990022400</v>
      </c>
      <c r="D33" s="16" t="s">
        <v>62</v>
      </c>
      <c r="E33" s="55" t="s">
        <v>63</v>
      </c>
      <c r="F33" s="220">
        <f>1652.8+61.9</f>
        <v>1714.7</v>
      </c>
      <c r="G33" s="220">
        <v>1652.8</v>
      </c>
      <c r="H33" s="220">
        <v>1652.8</v>
      </c>
    </row>
    <row r="34" spans="1:10" ht="23.25" customHeight="1" x14ac:dyDescent="0.2">
      <c r="A34" s="16" t="s">
        <v>88</v>
      </c>
      <c r="B34" s="16" t="s">
        <v>93</v>
      </c>
      <c r="C34" s="79">
        <v>9990022500</v>
      </c>
      <c r="D34" s="21"/>
      <c r="E34" s="99" t="s">
        <v>589</v>
      </c>
      <c r="F34" s="113">
        <f>SUM(F35:F36)</f>
        <v>2828.1</v>
      </c>
      <c r="G34" s="113">
        <f>SUM(G35:G36)</f>
        <v>2767.5</v>
      </c>
      <c r="H34" s="113">
        <f>SUM(H35:H36)</f>
        <v>2767.5</v>
      </c>
    </row>
    <row r="35" spans="1:10" ht="38.25" x14ac:dyDescent="0.2">
      <c r="A35" s="16" t="s">
        <v>88</v>
      </c>
      <c r="B35" s="16" t="s">
        <v>93</v>
      </c>
      <c r="C35" s="79">
        <v>9990022500</v>
      </c>
      <c r="D35" s="16" t="s">
        <v>62</v>
      </c>
      <c r="E35" s="55" t="s">
        <v>63</v>
      </c>
      <c r="F35" s="220">
        <f>2650.5+60.6</f>
        <v>2711.1</v>
      </c>
      <c r="G35" s="220">
        <v>2650.5</v>
      </c>
      <c r="H35" s="220">
        <v>2650.5</v>
      </c>
    </row>
    <row r="36" spans="1:10" ht="38.25" x14ac:dyDescent="0.2">
      <c r="A36" s="16" t="s">
        <v>88</v>
      </c>
      <c r="B36" s="16" t="s">
        <v>93</v>
      </c>
      <c r="C36" s="79">
        <v>9990022500</v>
      </c>
      <c r="D36" s="82" t="s">
        <v>211</v>
      </c>
      <c r="E36" s="98" t="s">
        <v>212</v>
      </c>
      <c r="F36" s="220">
        <f>117+150-150</f>
        <v>117</v>
      </c>
      <c r="G36" s="220">
        <v>117</v>
      </c>
      <c r="H36" s="220">
        <v>117</v>
      </c>
    </row>
    <row r="37" spans="1:10" s="32" customFormat="1" ht="76.5" x14ac:dyDescent="0.2">
      <c r="A37" s="30" t="s">
        <v>88</v>
      </c>
      <c r="B37" s="30" t="s">
        <v>94</v>
      </c>
      <c r="C37" s="30"/>
      <c r="D37" s="30"/>
      <c r="E37" s="46" t="s">
        <v>124</v>
      </c>
      <c r="F37" s="219">
        <f>F38</f>
        <v>58005.099999999984</v>
      </c>
      <c r="G37" s="219">
        <f>G38</f>
        <v>56289.899999999994</v>
      </c>
      <c r="H37" s="219">
        <f>H38</f>
        <v>56293.7</v>
      </c>
    </row>
    <row r="38" spans="1:10" ht="25.5" x14ac:dyDescent="0.2">
      <c r="A38" s="16" t="s">
        <v>88</v>
      </c>
      <c r="B38" s="16" t="s">
        <v>94</v>
      </c>
      <c r="C38" s="79">
        <v>9900000000</v>
      </c>
      <c r="D38" s="16"/>
      <c r="E38" s="55" t="s">
        <v>144</v>
      </c>
      <c r="F38" s="220">
        <f>F39+F42</f>
        <v>58005.099999999984</v>
      </c>
      <c r="G38" s="220">
        <f>G39+G42</f>
        <v>56289.899999999994</v>
      </c>
      <c r="H38" s="220">
        <f>H39+H42</f>
        <v>56293.7</v>
      </c>
    </row>
    <row r="39" spans="1:10" ht="25.5" x14ac:dyDescent="0.2">
      <c r="A39" s="16" t="s">
        <v>88</v>
      </c>
      <c r="B39" s="16" t="s">
        <v>94</v>
      </c>
      <c r="C39" s="79">
        <v>9930000000</v>
      </c>
      <c r="D39" s="16"/>
      <c r="E39" s="22" t="s">
        <v>40</v>
      </c>
      <c r="F39" s="220">
        <f>F40</f>
        <v>478.1</v>
      </c>
      <c r="G39" s="220">
        <f>G40</f>
        <v>481.7</v>
      </c>
      <c r="H39" s="220">
        <f>H40</f>
        <v>485.5</v>
      </c>
    </row>
    <row r="40" spans="1:10" ht="62.25" customHeight="1" x14ac:dyDescent="0.2">
      <c r="A40" s="16" t="s">
        <v>88</v>
      </c>
      <c r="B40" s="16" t="s">
        <v>94</v>
      </c>
      <c r="C40" s="79">
        <v>9930010510</v>
      </c>
      <c r="D40" s="16"/>
      <c r="E40" s="22" t="s">
        <v>15</v>
      </c>
      <c r="F40" s="220">
        <f>F41</f>
        <v>478.1</v>
      </c>
      <c r="G40" s="220">
        <f t="shared" ref="G40:H40" si="1">G41</f>
        <v>481.7</v>
      </c>
      <c r="H40" s="220">
        <f t="shared" si="1"/>
        <v>485.5</v>
      </c>
    </row>
    <row r="41" spans="1:10" ht="38.25" x14ac:dyDescent="0.2">
      <c r="A41" s="16" t="s">
        <v>88</v>
      </c>
      <c r="B41" s="16" t="s">
        <v>94</v>
      </c>
      <c r="C41" s="79">
        <v>9930010510</v>
      </c>
      <c r="D41" s="16" t="s">
        <v>62</v>
      </c>
      <c r="E41" s="102" t="s">
        <v>63</v>
      </c>
      <c r="F41" s="220">
        <v>478.1</v>
      </c>
      <c r="G41" s="220">
        <v>481.7</v>
      </c>
      <c r="H41" s="220">
        <v>485.5</v>
      </c>
    </row>
    <row r="42" spans="1:10" ht="38.25" x14ac:dyDescent="0.2">
      <c r="A42" s="16" t="s">
        <v>88</v>
      </c>
      <c r="B42" s="16" t="s">
        <v>94</v>
      </c>
      <c r="C42" s="79">
        <v>9980000000</v>
      </c>
      <c r="D42" s="16"/>
      <c r="E42" s="54" t="s">
        <v>29</v>
      </c>
      <c r="F42" s="220">
        <f>F43</f>
        <v>57526.999999999985</v>
      </c>
      <c r="G42" s="220">
        <f>G43</f>
        <v>55808.2</v>
      </c>
      <c r="H42" s="220">
        <f>H43</f>
        <v>55808.2</v>
      </c>
    </row>
    <row r="43" spans="1:10" x14ac:dyDescent="0.2">
      <c r="A43" s="16" t="s">
        <v>88</v>
      </c>
      <c r="B43" s="16" t="s">
        <v>94</v>
      </c>
      <c r="C43" s="138">
        <v>9980022200</v>
      </c>
      <c r="D43" s="21"/>
      <c r="E43" s="99" t="s">
        <v>115</v>
      </c>
      <c r="F43" s="220">
        <f>SUM(F44:F46)</f>
        <v>57526.999999999985</v>
      </c>
      <c r="G43" s="220">
        <f t="shared" ref="G43:H43" si="2">SUM(G44:G46)</f>
        <v>55808.2</v>
      </c>
      <c r="H43" s="220">
        <f t="shared" si="2"/>
        <v>55808.2</v>
      </c>
    </row>
    <row r="44" spans="1:10" ht="38.25" x14ac:dyDescent="0.2">
      <c r="A44" s="16" t="s">
        <v>88</v>
      </c>
      <c r="B44" s="16" t="s">
        <v>94</v>
      </c>
      <c r="C44" s="138">
        <v>9980022200</v>
      </c>
      <c r="D44" s="16" t="s">
        <v>62</v>
      </c>
      <c r="E44" s="55" t="s">
        <v>63</v>
      </c>
      <c r="F44" s="220">
        <f>53934.1+1687.7-27.8-40-25.4</f>
        <v>55528.599999999991</v>
      </c>
      <c r="G44" s="220">
        <v>53934.1</v>
      </c>
      <c r="H44" s="220">
        <v>53934.1</v>
      </c>
      <c r="J44" s="103"/>
    </row>
    <row r="45" spans="1:10" ht="38.25" x14ac:dyDescent="0.2">
      <c r="A45" s="16" t="s">
        <v>88</v>
      </c>
      <c r="B45" s="16" t="s">
        <v>94</v>
      </c>
      <c r="C45" s="138">
        <v>9980022200</v>
      </c>
      <c r="D45" s="82" t="s">
        <v>211</v>
      </c>
      <c r="E45" s="98" t="s">
        <v>212</v>
      </c>
      <c r="F45" s="220">
        <f>1874.1+71.1</f>
        <v>1945.1999999999998</v>
      </c>
      <c r="G45" s="220">
        <v>1874.1</v>
      </c>
      <c r="H45" s="220">
        <v>1874.1</v>
      </c>
    </row>
    <row r="46" spans="1:10" ht="38.25" x14ac:dyDescent="0.2">
      <c r="A46" s="16" t="s">
        <v>88</v>
      </c>
      <c r="B46" s="16" t="s">
        <v>94</v>
      </c>
      <c r="C46" s="138">
        <v>9980022200</v>
      </c>
      <c r="D46" s="82" t="s">
        <v>260</v>
      </c>
      <c r="E46" s="98" t="s">
        <v>249</v>
      </c>
      <c r="F46" s="220">
        <f>27.8+25.4</f>
        <v>53.2</v>
      </c>
      <c r="G46" s="220">
        <v>0</v>
      </c>
      <c r="H46" s="220">
        <v>0</v>
      </c>
    </row>
    <row r="47" spans="1:10" ht="14.25" x14ac:dyDescent="0.2">
      <c r="A47" s="35" t="s">
        <v>88</v>
      </c>
      <c r="B47" s="35" t="s">
        <v>95</v>
      </c>
      <c r="C47" s="35"/>
      <c r="D47" s="35"/>
      <c r="E47" s="46" t="s">
        <v>288</v>
      </c>
      <c r="F47" s="222">
        <f>SUM(F48)</f>
        <v>8.3000000000000007</v>
      </c>
      <c r="G47" s="222">
        <f>SUM(G48)</f>
        <v>8.6</v>
      </c>
      <c r="H47" s="222">
        <f>SUM(H48)</f>
        <v>98</v>
      </c>
    </row>
    <row r="48" spans="1:10" ht="25.5" x14ac:dyDescent="0.2">
      <c r="A48" s="16" t="s">
        <v>88</v>
      </c>
      <c r="B48" s="82" t="s">
        <v>95</v>
      </c>
      <c r="C48" s="79">
        <v>9900000000</v>
      </c>
      <c r="D48" s="16"/>
      <c r="E48" s="55" t="s">
        <v>145</v>
      </c>
      <c r="F48" s="220">
        <f t="shared" ref="F48:H50" si="3">F49</f>
        <v>8.3000000000000007</v>
      </c>
      <c r="G48" s="220">
        <f t="shared" si="3"/>
        <v>8.6</v>
      </c>
      <c r="H48" s="220">
        <f t="shared" si="3"/>
        <v>98</v>
      </c>
    </row>
    <row r="49" spans="1:8" ht="25.5" x14ac:dyDescent="0.2">
      <c r="A49" s="16" t="s">
        <v>88</v>
      </c>
      <c r="B49" s="82" t="s">
        <v>95</v>
      </c>
      <c r="C49" s="79">
        <v>9930000000</v>
      </c>
      <c r="D49" s="16"/>
      <c r="E49" s="22" t="s">
        <v>40</v>
      </c>
      <c r="F49" s="220">
        <f t="shared" si="3"/>
        <v>8.3000000000000007</v>
      </c>
      <c r="G49" s="220">
        <f t="shared" si="3"/>
        <v>8.6</v>
      </c>
      <c r="H49" s="220">
        <f t="shared" si="3"/>
        <v>98</v>
      </c>
    </row>
    <row r="50" spans="1:8" ht="63.75" x14ac:dyDescent="0.2">
      <c r="A50" s="16" t="s">
        <v>88</v>
      </c>
      <c r="B50" s="82" t="s">
        <v>95</v>
      </c>
      <c r="C50" s="79">
        <v>9930051200</v>
      </c>
      <c r="D50" s="16"/>
      <c r="E50" s="54" t="s">
        <v>281</v>
      </c>
      <c r="F50" s="223">
        <f t="shared" si="3"/>
        <v>8.3000000000000007</v>
      </c>
      <c r="G50" s="220">
        <f t="shared" si="3"/>
        <v>8.6</v>
      </c>
      <c r="H50" s="220">
        <f t="shared" si="3"/>
        <v>98</v>
      </c>
    </row>
    <row r="51" spans="1:8" ht="38.25" x14ac:dyDescent="0.2">
      <c r="A51" s="16" t="s">
        <v>88</v>
      </c>
      <c r="B51" s="82" t="s">
        <v>95</v>
      </c>
      <c r="C51" s="79">
        <v>9930051200</v>
      </c>
      <c r="D51" s="82" t="s">
        <v>211</v>
      </c>
      <c r="E51" s="98" t="s">
        <v>212</v>
      </c>
      <c r="F51" s="223">
        <v>8.3000000000000007</v>
      </c>
      <c r="G51" s="223">
        <v>8.6</v>
      </c>
      <c r="H51" s="223">
        <v>98</v>
      </c>
    </row>
    <row r="52" spans="1:8" s="37" customFormat="1" ht="63.75" x14ac:dyDescent="0.2">
      <c r="A52" s="35" t="s">
        <v>88</v>
      </c>
      <c r="B52" s="35" t="s">
        <v>96</v>
      </c>
      <c r="C52" s="35"/>
      <c r="D52" s="35"/>
      <c r="E52" s="46" t="s">
        <v>125</v>
      </c>
      <c r="F52" s="222">
        <f>SUM(F53)</f>
        <v>14239.999999999998</v>
      </c>
      <c r="G52" s="222">
        <f>SUM(G53)</f>
        <v>13696.9</v>
      </c>
      <c r="H52" s="222">
        <f>SUM(H53)</f>
        <v>13696.9</v>
      </c>
    </row>
    <row r="53" spans="1:8" ht="25.5" x14ac:dyDescent="0.2">
      <c r="A53" s="16" t="s">
        <v>88</v>
      </c>
      <c r="B53" s="16" t="s">
        <v>96</v>
      </c>
      <c r="C53" s="79">
        <v>9900000000</v>
      </c>
      <c r="D53" s="16"/>
      <c r="E53" s="55" t="s">
        <v>144</v>
      </c>
      <c r="F53" s="220">
        <f>F54+F58</f>
        <v>14239.999999999998</v>
      </c>
      <c r="G53" s="220">
        <f>G54+G58</f>
        <v>13696.9</v>
      </c>
      <c r="H53" s="220">
        <f>H54+H58</f>
        <v>13696.9</v>
      </c>
    </row>
    <row r="54" spans="1:8" ht="38.25" x14ac:dyDescent="0.2">
      <c r="A54" s="16" t="s">
        <v>88</v>
      </c>
      <c r="B54" s="16" t="s">
        <v>96</v>
      </c>
      <c r="C54" s="79">
        <v>9980000000</v>
      </c>
      <c r="D54" s="16"/>
      <c r="E54" s="54" t="s">
        <v>29</v>
      </c>
      <c r="F54" s="220">
        <f>F55</f>
        <v>12164.499999999998</v>
      </c>
      <c r="G54" s="220">
        <f>G55</f>
        <v>11732.699999999999</v>
      </c>
      <c r="H54" s="220">
        <f>H55</f>
        <v>11732.699999999999</v>
      </c>
    </row>
    <row r="55" spans="1:8" x14ac:dyDescent="0.2">
      <c r="A55" s="16" t="s">
        <v>88</v>
      </c>
      <c r="B55" s="16" t="s">
        <v>96</v>
      </c>
      <c r="C55" s="138">
        <v>9980022200</v>
      </c>
      <c r="D55" s="21"/>
      <c r="E55" s="99" t="s">
        <v>115</v>
      </c>
      <c r="F55" s="220">
        <f>SUM(F56:F57)</f>
        <v>12164.499999999998</v>
      </c>
      <c r="G55" s="220">
        <f>SUM(G56:G57)</f>
        <v>11732.699999999999</v>
      </c>
      <c r="H55" s="220">
        <f>SUM(H56:H57)</f>
        <v>11732.699999999999</v>
      </c>
    </row>
    <row r="56" spans="1:8" ht="38.25" x14ac:dyDescent="0.2">
      <c r="A56" s="16" t="s">
        <v>88</v>
      </c>
      <c r="B56" s="16" t="s">
        <v>96</v>
      </c>
      <c r="C56" s="138">
        <v>9980022200</v>
      </c>
      <c r="D56" s="16" t="s">
        <v>62</v>
      </c>
      <c r="E56" s="102" t="s">
        <v>63</v>
      </c>
      <c r="F56" s="220">
        <f>11196.4+431.8+218.5</f>
        <v>11846.699999999999</v>
      </c>
      <c r="G56" s="220">
        <v>11196.4</v>
      </c>
      <c r="H56" s="220">
        <v>11196.4</v>
      </c>
    </row>
    <row r="57" spans="1:8" ht="38.25" x14ac:dyDescent="0.2">
      <c r="A57" s="16" t="s">
        <v>88</v>
      </c>
      <c r="B57" s="16" t="s">
        <v>96</v>
      </c>
      <c r="C57" s="138">
        <v>9980022200</v>
      </c>
      <c r="D57" s="82" t="s">
        <v>211</v>
      </c>
      <c r="E57" s="98" t="s">
        <v>212</v>
      </c>
      <c r="F57" s="220">
        <f>536.3-218.5</f>
        <v>317.79999999999995</v>
      </c>
      <c r="G57" s="220">
        <v>536.29999999999995</v>
      </c>
      <c r="H57" s="220">
        <v>536.29999999999995</v>
      </c>
    </row>
    <row r="58" spans="1:8" ht="38.25" x14ac:dyDescent="0.2">
      <c r="A58" s="16" t="s">
        <v>88</v>
      </c>
      <c r="B58" s="16" t="s">
        <v>96</v>
      </c>
      <c r="C58" s="79">
        <v>9990000000</v>
      </c>
      <c r="D58" s="16"/>
      <c r="E58" s="54" t="s">
        <v>28</v>
      </c>
      <c r="F58" s="220">
        <f>+F59+F61</f>
        <v>2075.5</v>
      </c>
      <c r="G58" s="220">
        <f t="shared" ref="G58:H58" si="4">+G59+G61</f>
        <v>1964.2</v>
      </c>
      <c r="H58" s="220">
        <f t="shared" si="4"/>
        <v>1964.2</v>
      </c>
    </row>
    <row r="59" spans="1:8" ht="25.5" x14ac:dyDescent="0.2">
      <c r="A59" s="16" t="s">
        <v>88</v>
      </c>
      <c r="B59" s="16" t="s">
        <v>96</v>
      </c>
      <c r="C59" s="79">
        <v>9990022350</v>
      </c>
      <c r="D59" s="16"/>
      <c r="E59" s="98" t="s">
        <v>662</v>
      </c>
      <c r="F59" s="220">
        <f>F60</f>
        <v>1298.2000000000003</v>
      </c>
      <c r="G59" s="220">
        <f t="shared" ref="G59:H59" si="5">G60</f>
        <v>1291.4000000000001</v>
      </c>
      <c r="H59" s="220">
        <f t="shared" si="5"/>
        <v>1291.4000000000001</v>
      </c>
    </row>
    <row r="60" spans="1:8" ht="38.25" x14ac:dyDescent="0.2">
      <c r="A60" s="16" t="s">
        <v>88</v>
      </c>
      <c r="B60" s="16" t="s">
        <v>96</v>
      </c>
      <c r="C60" s="79">
        <v>9990022350</v>
      </c>
      <c r="D60" s="16" t="s">
        <v>62</v>
      </c>
      <c r="E60" s="99" t="s">
        <v>78</v>
      </c>
      <c r="F60" s="220">
        <f>1291.4+56.4-49.6</f>
        <v>1298.2000000000003</v>
      </c>
      <c r="G60" s="220">
        <v>1291.4000000000001</v>
      </c>
      <c r="H60" s="220">
        <v>1291.4000000000001</v>
      </c>
    </row>
    <row r="61" spans="1:8" ht="25.5" x14ac:dyDescent="0.2">
      <c r="A61" s="16" t="s">
        <v>88</v>
      </c>
      <c r="B61" s="16" t="s">
        <v>96</v>
      </c>
      <c r="C61" s="79">
        <v>9990022300</v>
      </c>
      <c r="D61" s="21"/>
      <c r="E61" s="99" t="s">
        <v>200</v>
      </c>
      <c r="F61" s="113">
        <f>F62+F63</f>
        <v>777.3</v>
      </c>
      <c r="G61" s="113">
        <f>G62+G63</f>
        <v>672.8</v>
      </c>
      <c r="H61" s="113">
        <f>H62+H63</f>
        <v>672.8</v>
      </c>
    </row>
    <row r="62" spans="1:8" ht="38.25" x14ac:dyDescent="0.2">
      <c r="A62" s="16" t="s">
        <v>88</v>
      </c>
      <c r="B62" s="16" t="s">
        <v>96</v>
      </c>
      <c r="C62" s="79">
        <v>9990022300</v>
      </c>
      <c r="D62" s="16" t="s">
        <v>62</v>
      </c>
      <c r="E62" s="99" t="s">
        <v>78</v>
      </c>
      <c r="F62" s="220">
        <f>694.3+30.4-15.8+47.6</f>
        <v>756.5</v>
      </c>
      <c r="G62" s="220">
        <v>669.3</v>
      </c>
      <c r="H62" s="220">
        <v>669.3</v>
      </c>
    </row>
    <row r="63" spans="1:8" ht="38.25" x14ac:dyDescent="0.2">
      <c r="A63" s="16" t="s">
        <v>88</v>
      </c>
      <c r="B63" s="16" t="s">
        <v>96</v>
      </c>
      <c r="C63" s="79">
        <v>9990022300</v>
      </c>
      <c r="D63" s="82" t="s">
        <v>211</v>
      </c>
      <c r="E63" s="98" t="s">
        <v>212</v>
      </c>
      <c r="F63" s="220">
        <f>50.1-47.1+15.8+2</f>
        <v>20.8</v>
      </c>
      <c r="G63" s="220">
        <v>3.5</v>
      </c>
      <c r="H63" s="220">
        <v>3.5</v>
      </c>
    </row>
    <row r="64" spans="1:8" ht="14.25" x14ac:dyDescent="0.2">
      <c r="A64" s="35" t="s">
        <v>88</v>
      </c>
      <c r="B64" s="35" t="s">
        <v>102</v>
      </c>
      <c r="C64" s="35"/>
      <c r="D64" s="35"/>
      <c r="E64" s="27" t="s">
        <v>5</v>
      </c>
      <c r="F64" s="222">
        <f t="shared" ref="F64:H67" si="6">F65</f>
        <v>227.70000000000002</v>
      </c>
      <c r="G64" s="222">
        <f t="shared" si="6"/>
        <v>500</v>
      </c>
      <c r="H64" s="222">
        <f t="shared" si="6"/>
        <v>500</v>
      </c>
    </row>
    <row r="65" spans="1:8" ht="25.5" x14ac:dyDescent="0.2">
      <c r="A65" s="16" t="s">
        <v>88</v>
      </c>
      <c r="B65" s="16" t="s">
        <v>102</v>
      </c>
      <c r="C65" s="79">
        <v>9900000000</v>
      </c>
      <c r="D65" s="16"/>
      <c r="E65" s="55" t="s">
        <v>144</v>
      </c>
      <c r="F65" s="224">
        <f t="shared" si="6"/>
        <v>227.70000000000002</v>
      </c>
      <c r="G65" s="224">
        <f t="shared" si="6"/>
        <v>500</v>
      </c>
      <c r="H65" s="224">
        <f t="shared" si="6"/>
        <v>500</v>
      </c>
    </row>
    <row r="66" spans="1:8" ht="14.25" x14ac:dyDescent="0.2">
      <c r="A66" s="16" t="s">
        <v>88</v>
      </c>
      <c r="B66" s="16" t="s">
        <v>102</v>
      </c>
      <c r="C66" s="79">
        <v>9920000000</v>
      </c>
      <c r="D66" s="35"/>
      <c r="E66" s="126" t="s">
        <v>5</v>
      </c>
      <c r="F66" s="224">
        <f t="shared" si="6"/>
        <v>227.70000000000002</v>
      </c>
      <c r="G66" s="224">
        <f t="shared" si="6"/>
        <v>500</v>
      </c>
      <c r="H66" s="224">
        <f t="shared" si="6"/>
        <v>500</v>
      </c>
    </row>
    <row r="67" spans="1:8" ht="25.5" x14ac:dyDescent="0.2">
      <c r="A67" s="16" t="s">
        <v>88</v>
      </c>
      <c r="B67" s="16" t="s">
        <v>102</v>
      </c>
      <c r="C67" s="79">
        <v>9920026100</v>
      </c>
      <c r="D67" s="21"/>
      <c r="E67" s="99" t="s">
        <v>11</v>
      </c>
      <c r="F67" s="220">
        <f t="shared" si="6"/>
        <v>227.70000000000002</v>
      </c>
      <c r="G67" s="220">
        <f t="shared" si="6"/>
        <v>500</v>
      </c>
      <c r="H67" s="220">
        <f t="shared" si="6"/>
        <v>500</v>
      </c>
    </row>
    <row r="68" spans="1:8" x14ac:dyDescent="0.2">
      <c r="A68" s="16" t="s">
        <v>88</v>
      </c>
      <c r="B68" s="16" t="s">
        <v>102</v>
      </c>
      <c r="C68" s="79">
        <v>9920026100</v>
      </c>
      <c r="D68" s="16" t="s">
        <v>84</v>
      </c>
      <c r="E68" s="98" t="s">
        <v>85</v>
      </c>
      <c r="F68" s="220">
        <f>500-100-153.7-18.6</f>
        <v>227.70000000000002</v>
      </c>
      <c r="G68" s="220">
        <v>500</v>
      </c>
      <c r="H68" s="220">
        <v>500</v>
      </c>
    </row>
    <row r="69" spans="1:8" s="32" customFormat="1" ht="14.25" x14ac:dyDescent="0.2">
      <c r="A69" s="30" t="s">
        <v>88</v>
      </c>
      <c r="B69" s="30" t="s">
        <v>9</v>
      </c>
      <c r="C69" s="33"/>
      <c r="D69" s="33"/>
      <c r="E69" s="45" t="s">
        <v>97</v>
      </c>
      <c r="F69" s="219">
        <f>F70+F99</f>
        <v>218997.9</v>
      </c>
      <c r="G69" s="219">
        <f>G70+G99</f>
        <v>90824.2</v>
      </c>
      <c r="H69" s="219">
        <f>H70+H99</f>
        <v>48924.200000000004</v>
      </c>
    </row>
    <row r="70" spans="1:8" s="32" customFormat="1" ht="89.25" x14ac:dyDescent="0.2">
      <c r="A70" s="16" t="s">
        <v>88</v>
      </c>
      <c r="B70" s="16" t="s">
        <v>9</v>
      </c>
      <c r="C70" s="73" t="s">
        <v>69</v>
      </c>
      <c r="D70" s="16"/>
      <c r="E70" s="142" t="s">
        <v>576</v>
      </c>
      <c r="F70" s="117">
        <f>F71</f>
        <v>165664.79999999999</v>
      </c>
      <c r="G70" s="117">
        <f>G71</f>
        <v>49818.299999999996</v>
      </c>
      <c r="H70" s="117">
        <f>H71</f>
        <v>7916.2</v>
      </c>
    </row>
    <row r="71" spans="1:8" s="32" customFormat="1" ht="38.25" x14ac:dyDescent="0.2">
      <c r="A71" s="16" t="s">
        <v>88</v>
      </c>
      <c r="B71" s="16" t="s">
        <v>9</v>
      </c>
      <c r="C71" s="52" t="s">
        <v>70</v>
      </c>
      <c r="D71" s="16"/>
      <c r="E71" s="48" t="s">
        <v>157</v>
      </c>
      <c r="F71" s="119">
        <f>F72+F74+F76+F78+F81+F83+F85+F87+F89+F91+F93+F95+F97</f>
        <v>165664.79999999999</v>
      </c>
      <c r="G71" s="119">
        <f t="shared" ref="G71:H71" si="7">G72+G74+G76+G78+G81+G83+G85+G87+G89+G91+G93+G95+G97</f>
        <v>49818.299999999996</v>
      </c>
      <c r="H71" s="119">
        <f t="shared" si="7"/>
        <v>7916.2</v>
      </c>
    </row>
    <row r="72" spans="1:8" s="32" customFormat="1" ht="38.25" x14ac:dyDescent="0.2">
      <c r="A72" s="16" t="s">
        <v>88</v>
      </c>
      <c r="B72" s="16" t="s">
        <v>9</v>
      </c>
      <c r="C72" s="82" t="s">
        <v>457</v>
      </c>
      <c r="D72" s="16"/>
      <c r="E72" s="97" t="s">
        <v>158</v>
      </c>
      <c r="F72" s="113">
        <f>F73</f>
        <v>250</v>
      </c>
      <c r="G72" s="113">
        <f>G73</f>
        <v>250</v>
      </c>
      <c r="H72" s="113">
        <f>H73</f>
        <v>250</v>
      </c>
    </row>
    <row r="73" spans="1:8" s="32" customFormat="1" ht="38.25" x14ac:dyDescent="0.2">
      <c r="A73" s="16" t="s">
        <v>88</v>
      </c>
      <c r="B73" s="16" t="s">
        <v>9</v>
      </c>
      <c r="C73" s="82" t="s">
        <v>457</v>
      </c>
      <c r="D73" s="82" t="s">
        <v>211</v>
      </c>
      <c r="E73" s="98" t="s">
        <v>212</v>
      </c>
      <c r="F73" s="113">
        <v>250</v>
      </c>
      <c r="G73" s="113">
        <v>250</v>
      </c>
      <c r="H73" s="113">
        <v>250</v>
      </c>
    </row>
    <row r="74" spans="1:8" s="32" customFormat="1" ht="51" x14ac:dyDescent="0.2">
      <c r="A74" s="16" t="s">
        <v>88</v>
      </c>
      <c r="B74" s="16" t="s">
        <v>9</v>
      </c>
      <c r="C74" s="135" t="s">
        <v>458</v>
      </c>
      <c r="D74" s="16"/>
      <c r="E74" s="97" t="s">
        <v>159</v>
      </c>
      <c r="F74" s="113">
        <f>F75</f>
        <v>100</v>
      </c>
      <c r="G74" s="113">
        <f>G75</f>
        <v>100</v>
      </c>
      <c r="H74" s="113">
        <f>H75</f>
        <v>100</v>
      </c>
    </row>
    <row r="75" spans="1:8" s="32" customFormat="1" ht="38.25" x14ac:dyDescent="0.2">
      <c r="A75" s="16" t="s">
        <v>88</v>
      </c>
      <c r="B75" s="16" t="s">
        <v>9</v>
      </c>
      <c r="C75" s="135" t="s">
        <v>458</v>
      </c>
      <c r="D75" s="82" t="s">
        <v>211</v>
      </c>
      <c r="E75" s="98" t="s">
        <v>212</v>
      </c>
      <c r="F75" s="113">
        <v>100</v>
      </c>
      <c r="G75" s="113">
        <v>100</v>
      </c>
      <c r="H75" s="113">
        <v>100</v>
      </c>
    </row>
    <row r="76" spans="1:8" s="32" customFormat="1" ht="76.5" x14ac:dyDescent="0.2">
      <c r="A76" s="16" t="s">
        <v>88</v>
      </c>
      <c r="B76" s="16" t="s">
        <v>9</v>
      </c>
      <c r="C76" s="135" t="s">
        <v>459</v>
      </c>
      <c r="D76" s="16"/>
      <c r="E76" s="97" t="s">
        <v>160</v>
      </c>
      <c r="F76" s="113">
        <f>F77</f>
        <v>173.5</v>
      </c>
      <c r="G76" s="113">
        <f>G77</f>
        <v>100</v>
      </c>
      <c r="H76" s="113">
        <f>H77</f>
        <v>100</v>
      </c>
    </row>
    <row r="77" spans="1:8" s="32" customFormat="1" ht="38.25" x14ac:dyDescent="0.2">
      <c r="A77" s="16" t="s">
        <v>88</v>
      </c>
      <c r="B77" s="16" t="s">
        <v>9</v>
      </c>
      <c r="C77" s="135" t="s">
        <v>459</v>
      </c>
      <c r="D77" s="82" t="s">
        <v>211</v>
      </c>
      <c r="E77" s="98" t="s">
        <v>212</v>
      </c>
      <c r="F77" s="113">
        <v>173.5</v>
      </c>
      <c r="G77" s="113">
        <v>100</v>
      </c>
      <c r="H77" s="113">
        <v>100</v>
      </c>
    </row>
    <row r="78" spans="1:8" s="32" customFormat="1" ht="38.25" x14ac:dyDescent="0.2">
      <c r="A78" s="16" t="s">
        <v>88</v>
      </c>
      <c r="B78" s="16" t="s">
        <v>9</v>
      </c>
      <c r="C78" s="74">
        <v>310223174</v>
      </c>
      <c r="D78" s="16"/>
      <c r="E78" s="97" t="s">
        <v>161</v>
      </c>
      <c r="F78" s="113">
        <f>SUM(F79:F80)</f>
        <v>13743.399999999998</v>
      </c>
      <c r="G78" s="113">
        <f t="shared" ref="G78:H78" si="8">SUM(G79:G80)</f>
        <v>7490</v>
      </c>
      <c r="H78" s="113">
        <f t="shared" si="8"/>
        <v>7466.2</v>
      </c>
    </row>
    <row r="79" spans="1:8" s="32" customFormat="1" ht="38.25" x14ac:dyDescent="0.2">
      <c r="A79" s="16" t="s">
        <v>88</v>
      </c>
      <c r="B79" s="16" t="s">
        <v>9</v>
      </c>
      <c r="C79" s="74">
        <v>310223174</v>
      </c>
      <c r="D79" s="82" t="s">
        <v>211</v>
      </c>
      <c r="E79" s="98" t="s">
        <v>212</v>
      </c>
      <c r="F79" s="113">
        <f>9728.9+4.8+1000+2500-62.6+100-193.8+584.8</f>
        <v>13662.099999999999</v>
      </c>
      <c r="G79" s="113">
        <v>7490</v>
      </c>
      <c r="H79" s="113">
        <v>7466.2</v>
      </c>
    </row>
    <row r="80" spans="1:8" s="32" customFormat="1" ht="25.5" x14ac:dyDescent="0.2">
      <c r="A80" s="16" t="s">
        <v>88</v>
      </c>
      <c r="B80" s="16" t="s">
        <v>9</v>
      </c>
      <c r="C80" s="74">
        <v>310223174</v>
      </c>
      <c r="D80" s="82" t="s">
        <v>131</v>
      </c>
      <c r="E80" s="98" t="s">
        <v>132</v>
      </c>
      <c r="F80" s="113">
        <f>62.6+18.8-0.1</f>
        <v>81.300000000000011</v>
      </c>
      <c r="G80" s="113">
        <v>0</v>
      </c>
      <c r="H80" s="113">
        <v>0</v>
      </c>
    </row>
    <row r="81" spans="1:10" s="32" customFormat="1" ht="76.5" x14ac:dyDescent="0.2">
      <c r="A81" s="16" t="s">
        <v>88</v>
      </c>
      <c r="B81" s="16" t="s">
        <v>9</v>
      </c>
      <c r="C81" s="74">
        <v>310223176</v>
      </c>
      <c r="D81" s="82"/>
      <c r="E81" s="98" t="s">
        <v>805</v>
      </c>
      <c r="F81" s="113">
        <f>F82</f>
        <v>200</v>
      </c>
      <c r="G81" s="113">
        <f t="shared" ref="G81:H81" si="9">G82</f>
        <v>0</v>
      </c>
      <c r="H81" s="113">
        <f t="shared" si="9"/>
        <v>0</v>
      </c>
    </row>
    <row r="82" spans="1:10" s="32" customFormat="1" ht="14.25" x14ac:dyDescent="0.2">
      <c r="A82" s="16" t="s">
        <v>88</v>
      </c>
      <c r="B82" s="16" t="s">
        <v>9</v>
      </c>
      <c r="C82" s="74">
        <v>310223176</v>
      </c>
      <c r="D82" s="82" t="s">
        <v>748</v>
      </c>
      <c r="E82" s="98" t="s">
        <v>749</v>
      </c>
      <c r="F82" s="113">
        <v>200</v>
      </c>
      <c r="G82" s="113">
        <v>0</v>
      </c>
      <c r="H82" s="113">
        <v>0</v>
      </c>
    </row>
    <row r="83" spans="1:10" s="32" customFormat="1" ht="51.75" customHeight="1" x14ac:dyDescent="0.2">
      <c r="A83" s="16" t="s">
        <v>88</v>
      </c>
      <c r="B83" s="16" t="s">
        <v>9</v>
      </c>
      <c r="C83" s="21" t="s">
        <v>731</v>
      </c>
      <c r="D83" s="35"/>
      <c r="E83" s="97" t="s">
        <v>763</v>
      </c>
      <c r="F83" s="220">
        <f>F84</f>
        <v>6352.2</v>
      </c>
      <c r="G83" s="220">
        <f t="shared" ref="G83:H83" si="10">G84</f>
        <v>12016.9</v>
      </c>
      <c r="H83" s="220">
        <f t="shared" si="10"/>
        <v>0</v>
      </c>
    </row>
    <row r="84" spans="1:10" s="32" customFormat="1" ht="38.25" x14ac:dyDescent="0.2">
      <c r="A84" s="16" t="s">
        <v>88</v>
      </c>
      <c r="B84" s="16" t="s">
        <v>9</v>
      </c>
      <c r="C84" s="21" t="s">
        <v>731</v>
      </c>
      <c r="D84" s="82" t="s">
        <v>211</v>
      </c>
      <c r="E84" s="98" t="s">
        <v>212</v>
      </c>
      <c r="F84" s="220">
        <f>6352.2</f>
        <v>6352.2</v>
      </c>
      <c r="G84" s="220">
        <v>12016.9</v>
      </c>
      <c r="H84" s="220">
        <v>0</v>
      </c>
    </row>
    <row r="85" spans="1:10" s="32" customFormat="1" ht="51" customHeight="1" x14ac:dyDescent="0.2">
      <c r="A85" s="16" t="s">
        <v>88</v>
      </c>
      <c r="B85" s="16" t="s">
        <v>9</v>
      </c>
      <c r="C85" s="21" t="s">
        <v>730</v>
      </c>
      <c r="D85" s="82"/>
      <c r="E85" s="54" t="s">
        <v>726</v>
      </c>
      <c r="F85" s="113">
        <f>F86</f>
        <v>24876.3</v>
      </c>
      <c r="G85" s="113">
        <f t="shared" ref="G85:H85" si="11">G86</f>
        <v>14031.8</v>
      </c>
      <c r="H85" s="113">
        <f t="shared" si="11"/>
        <v>0</v>
      </c>
      <c r="J85" s="171"/>
    </row>
    <row r="86" spans="1:10" s="32" customFormat="1" ht="38.25" x14ac:dyDescent="0.2">
      <c r="A86" s="16" t="s">
        <v>88</v>
      </c>
      <c r="B86" s="16" t="s">
        <v>9</v>
      </c>
      <c r="C86" s="21" t="s">
        <v>730</v>
      </c>
      <c r="D86" s="82" t="s">
        <v>211</v>
      </c>
      <c r="E86" s="98" t="s">
        <v>212</v>
      </c>
      <c r="F86" s="113">
        <f>25408.7-532.4</f>
        <v>24876.3</v>
      </c>
      <c r="G86" s="220">
        <v>14031.8</v>
      </c>
      <c r="H86" s="220">
        <v>0</v>
      </c>
    </row>
    <row r="87" spans="1:10" s="32" customFormat="1" ht="63.75" x14ac:dyDescent="0.2">
      <c r="A87" s="16" t="s">
        <v>88</v>
      </c>
      <c r="B87" s="16" t="s">
        <v>9</v>
      </c>
      <c r="C87" s="21" t="s">
        <v>806</v>
      </c>
      <c r="D87" s="35"/>
      <c r="E87" s="97" t="s">
        <v>807</v>
      </c>
      <c r="F87" s="113">
        <f>F88</f>
        <v>0</v>
      </c>
      <c r="G87" s="113">
        <f t="shared" ref="G87:H87" si="12">G88</f>
        <v>4626</v>
      </c>
      <c r="H87" s="113">
        <f t="shared" si="12"/>
        <v>0</v>
      </c>
    </row>
    <row r="88" spans="1:10" s="32" customFormat="1" ht="38.25" x14ac:dyDescent="0.2">
      <c r="A88" s="16" t="s">
        <v>88</v>
      </c>
      <c r="B88" s="16" t="s">
        <v>9</v>
      </c>
      <c r="C88" s="21" t="s">
        <v>806</v>
      </c>
      <c r="D88" s="82" t="s">
        <v>211</v>
      </c>
      <c r="E88" s="98" t="s">
        <v>212</v>
      </c>
      <c r="F88" s="113"/>
      <c r="G88" s="220">
        <v>4626</v>
      </c>
      <c r="H88" s="220"/>
    </row>
    <row r="89" spans="1:10" s="32" customFormat="1" ht="63.75" x14ac:dyDescent="0.2">
      <c r="A89" s="16" t="s">
        <v>88</v>
      </c>
      <c r="B89" s="16" t="s">
        <v>9</v>
      </c>
      <c r="C89" s="21" t="s">
        <v>826</v>
      </c>
      <c r="D89" s="82"/>
      <c r="E89" s="97" t="s">
        <v>807</v>
      </c>
      <c r="F89" s="113">
        <f>F90</f>
        <v>0</v>
      </c>
      <c r="G89" s="113">
        <f t="shared" ref="G89:H89" si="13">G90</f>
        <v>11203.6</v>
      </c>
      <c r="H89" s="113">
        <f t="shared" si="13"/>
        <v>0</v>
      </c>
    </row>
    <row r="90" spans="1:10" s="32" customFormat="1" ht="38.25" x14ac:dyDescent="0.2">
      <c r="A90" s="16" t="s">
        <v>88</v>
      </c>
      <c r="B90" s="16" t="s">
        <v>9</v>
      </c>
      <c r="C90" s="21" t="s">
        <v>826</v>
      </c>
      <c r="D90" s="82" t="s">
        <v>211</v>
      </c>
      <c r="E90" s="98" t="s">
        <v>212</v>
      </c>
      <c r="F90" s="113"/>
      <c r="G90" s="220">
        <v>11203.6</v>
      </c>
      <c r="H90" s="220"/>
    </row>
    <row r="91" spans="1:10" s="32" customFormat="1" ht="28.5" customHeight="1" x14ac:dyDescent="0.2">
      <c r="A91" s="16" t="s">
        <v>88</v>
      </c>
      <c r="B91" s="16" t="s">
        <v>9</v>
      </c>
      <c r="C91" s="57" t="s">
        <v>776</v>
      </c>
      <c r="D91" s="21"/>
      <c r="E91" s="98" t="s">
        <v>775</v>
      </c>
      <c r="F91" s="113">
        <f>F92</f>
        <v>10061.6</v>
      </c>
      <c r="G91" s="113">
        <f t="shared" ref="G91:H91" si="14">G92</f>
        <v>0</v>
      </c>
      <c r="H91" s="113">
        <f t="shared" si="14"/>
        <v>0</v>
      </c>
    </row>
    <row r="92" spans="1:10" s="32" customFormat="1" ht="38.25" x14ac:dyDescent="0.2">
      <c r="A92" s="16" t="s">
        <v>88</v>
      </c>
      <c r="B92" s="16" t="s">
        <v>9</v>
      </c>
      <c r="C92" s="57" t="s">
        <v>776</v>
      </c>
      <c r="D92" s="82" t="s">
        <v>211</v>
      </c>
      <c r="E92" s="98" t="s">
        <v>212</v>
      </c>
      <c r="F92" s="113">
        <f>1920.7+1188.8+1675.8+5487.8-211.5</f>
        <v>10061.6</v>
      </c>
      <c r="G92" s="220">
        <v>0</v>
      </c>
      <c r="H92" s="220">
        <v>0</v>
      </c>
    </row>
    <row r="93" spans="1:10" s="32" customFormat="1" ht="38.25" x14ac:dyDescent="0.2">
      <c r="A93" s="16" t="s">
        <v>88</v>
      </c>
      <c r="B93" s="16" t="s">
        <v>9</v>
      </c>
      <c r="C93" s="162" t="s">
        <v>732</v>
      </c>
      <c r="D93" s="21"/>
      <c r="E93" s="98" t="s">
        <v>725</v>
      </c>
      <c r="F93" s="224">
        <f>F94</f>
        <v>101333.4</v>
      </c>
      <c r="G93" s="224">
        <f t="shared" ref="G93:H93" si="15">G94</f>
        <v>0</v>
      </c>
      <c r="H93" s="224">
        <f t="shared" si="15"/>
        <v>0</v>
      </c>
    </row>
    <row r="94" spans="1:10" s="32" customFormat="1" ht="38.25" x14ac:dyDescent="0.2">
      <c r="A94" s="16" t="s">
        <v>88</v>
      </c>
      <c r="B94" s="16" t="s">
        <v>9</v>
      </c>
      <c r="C94" s="162" t="s">
        <v>732</v>
      </c>
      <c r="D94" s="82" t="s">
        <v>211</v>
      </c>
      <c r="E94" s="98" t="s">
        <v>212</v>
      </c>
      <c r="F94" s="224">
        <v>101333.4</v>
      </c>
      <c r="G94" s="113">
        <v>0</v>
      </c>
      <c r="H94" s="113">
        <v>0</v>
      </c>
    </row>
    <row r="95" spans="1:10" s="32" customFormat="1" ht="51" x14ac:dyDescent="0.2">
      <c r="A95" s="16" t="s">
        <v>88</v>
      </c>
      <c r="B95" s="16" t="s">
        <v>9</v>
      </c>
      <c r="C95" s="162" t="s">
        <v>733</v>
      </c>
      <c r="D95" s="21"/>
      <c r="E95" s="98" t="s">
        <v>706</v>
      </c>
      <c r="F95" s="224">
        <f>F96</f>
        <v>3172.5</v>
      </c>
      <c r="G95" s="224">
        <f t="shared" ref="G95:H95" si="16">G96</f>
        <v>0</v>
      </c>
      <c r="H95" s="224">
        <f t="shared" si="16"/>
        <v>0</v>
      </c>
    </row>
    <row r="96" spans="1:10" s="32" customFormat="1" ht="38.25" x14ac:dyDescent="0.2">
      <c r="A96" s="16" t="s">
        <v>88</v>
      </c>
      <c r="B96" s="16" t="s">
        <v>9</v>
      </c>
      <c r="C96" s="162" t="s">
        <v>733</v>
      </c>
      <c r="D96" s="82" t="s">
        <v>211</v>
      </c>
      <c r="E96" s="98" t="s">
        <v>212</v>
      </c>
      <c r="F96" s="224">
        <v>3172.5</v>
      </c>
      <c r="G96" s="113">
        <v>0</v>
      </c>
      <c r="H96" s="113">
        <v>0</v>
      </c>
    </row>
    <row r="97" spans="1:8" s="32" customFormat="1" ht="51" x14ac:dyDescent="0.2">
      <c r="A97" s="16" t="s">
        <v>88</v>
      </c>
      <c r="B97" s="16" t="s">
        <v>9</v>
      </c>
      <c r="C97" s="162" t="s">
        <v>734</v>
      </c>
      <c r="D97" s="82"/>
      <c r="E97" s="98" t="s">
        <v>727</v>
      </c>
      <c r="F97" s="113">
        <f>F98</f>
        <v>5401.9</v>
      </c>
      <c r="G97" s="224">
        <f t="shared" ref="G97" si="17">G98</f>
        <v>0</v>
      </c>
      <c r="H97" s="224">
        <f t="shared" ref="H97" si="18">H98</f>
        <v>0</v>
      </c>
    </row>
    <row r="98" spans="1:8" s="32" customFormat="1" ht="38.25" x14ac:dyDescent="0.2">
      <c r="A98" s="16" t="s">
        <v>88</v>
      </c>
      <c r="B98" s="16" t="s">
        <v>9</v>
      </c>
      <c r="C98" s="162" t="s">
        <v>734</v>
      </c>
      <c r="D98" s="82" t="s">
        <v>211</v>
      </c>
      <c r="E98" s="98" t="s">
        <v>212</v>
      </c>
      <c r="F98" s="113">
        <f>352.5+5049.4</f>
        <v>5401.9</v>
      </c>
      <c r="G98" s="113">
        <v>0</v>
      </c>
      <c r="H98" s="113">
        <v>0</v>
      </c>
    </row>
    <row r="99" spans="1:8" s="32" customFormat="1" ht="25.5" x14ac:dyDescent="0.2">
      <c r="A99" s="5" t="s">
        <v>88</v>
      </c>
      <c r="B99" s="5" t="s">
        <v>9</v>
      </c>
      <c r="C99" s="83">
        <v>9900000000</v>
      </c>
      <c r="D99" s="5"/>
      <c r="E99" s="84" t="s">
        <v>144</v>
      </c>
      <c r="F99" s="117">
        <f>F100+F110+F104</f>
        <v>53333.100000000006</v>
      </c>
      <c r="G99" s="117">
        <f>G100+G110+G104</f>
        <v>41005.9</v>
      </c>
      <c r="H99" s="117">
        <f>H100+H110+H104</f>
        <v>41008.000000000007</v>
      </c>
    </row>
    <row r="100" spans="1:8" s="32" customFormat="1" ht="25.5" x14ac:dyDescent="0.2">
      <c r="A100" s="16" t="s">
        <v>88</v>
      </c>
      <c r="B100" s="16" t="s">
        <v>9</v>
      </c>
      <c r="C100" s="79">
        <v>9930000000</v>
      </c>
      <c r="D100" s="16"/>
      <c r="E100" s="22" t="s">
        <v>40</v>
      </c>
      <c r="F100" s="220">
        <f>F101</f>
        <v>271.10000000000002</v>
      </c>
      <c r="G100" s="220">
        <f>G101</f>
        <v>273.2</v>
      </c>
      <c r="H100" s="220">
        <f>H101</f>
        <v>275.3</v>
      </c>
    </row>
    <row r="101" spans="1:8" s="32" customFormat="1" ht="38.25" customHeight="1" x14ac:dyDescent="0.2">
      <c r="A101" s="16" t="s">
        <v>88</v>
      </c>
      <c r="B101" s="16" t="s">
        <v>9</v>
      </c>
      <c r="C101" s="79">
        <v>9930010540</v>
      </c>
      <c r="D101" s="16"/>
      <c r="E101" s="22" t="s">
        <v>16</v>
      </c>
      <c r="F101" s="220">
        <f>F102+F103</f>
        <v>271.10000000000002</v>
      </c>
      <c r="G101" s="220">
        <f>G102+G103</f>
        <v>273.2</v>
      </c>
      <c r="H101" s="220">
        <f>H102+H103</f>
        <v>275.3</v>
      </c>
    </row>
    <row r="102" spans="1:8" s="32" customFormat="1" ht="38.25" x14ac:dyDescent="0.2">
      <c r="A102" s="16" t="s">
        <v>88</v>
      </c>
      <c r="B102" s="16" t="s">
        <v>9</v>
      </c>
      <c r="C102" s="79">
        <v>9930010540</v>
      </c>
      <c r="D102" s="16" t="s">
        <v>62</v>
      </c>
      <c r="E102" s="102" t="s">
        <v>63</v>
      </c>
      <c r="F102" s="220">
        <v>254.9</v>
      </c>
      <c r="G102" s="220">
        <v>254.9</v>
      </c>
      <c r="H102" s="220">
        <v>254.9</v>
      </c>
    </row>
    <row r="103" spans="1:8" s="32" customFormat="1" ht="38.25" x14ac:dyDescent="0.2">
      <c r="A103" s="16" t="s">
        <v>88</v>
      </c>
      <c r="B103" s="16" t="s">
        <v>9</v>
      </c>
      <c r="C103" s="79">
        <v>9930010540</v>
      </c>
      <c r="D103" s="82" t="s">
        <v>211</v>
      </c>
      <c r="E103" s="98" t="s">
        <v>212</v>
      </c>
      <c r="F103" s="220">
        <v>16.2</v>
      </c>
      <c r="G103" s="220">
        <v>18.3</v>
      </c>
      <c r="H103" s="220">
        <v>20.399999999999999</v>
      </c>
    </row>
    <row r="104" spans="1:8" s="32" customFormat="1" ht="38.25" x14ac:dyDescent="0.2">
      <c r="A104" s="16" t="s">
        <v>88</v>
      </c>
      <c r="B104" s="16" t="s">
        <v>9</v>
      </c>
      <c r="C104" s="16" t="s">
        <v>24</v>
      </c>
      <c r="D104" s="16"/>
      <c r="E104" s="99" t="s">
        <v>38</v>
      </c>
      <c r="F104" s="220">
        <f>F105</f>
        <v>7027.4</v>
      </c>
      <c r="G104" s="220">
        <f>G105</f>
        <v>1417</v>
      </c>
      <c r="H104" s="220">
        <f>H105</f>
        <v>1417</v>
      </c>
    </row>
    <row r="105" spans="1:8" s="32" customFormat="1" ht="25.5" x14ac:dyDescent="0.2">
      <c r="A105" s="16" t="s">
        <v>88</v>
      </c>
      <c r="B105" s="16" t="s">
        <v>9</v>
      </c>
      <c r="C105" s="82" t="s">
        <v>534</v>
      </c>
      <c r="D105" s="16"/>
      <c r="E105" s="99" t="s">
        <v>39</v>
      </c>
      <c r="F105" s="220">
        <f>SUM(F106:F109)</f>
        <v>7027.4</v>
      </c>
      <c r="G105" s="220">
        <f>SUM(G106:G109)</f>
        <v>1417</v>
      </c>
      <c r="H105" s="220">
        <f>SUM(H106:H109)</f>
        <v>1417</v>
      </c>
    </row>
    <row r="106" spans="1:8" s="32" customFormat="1" ht="38.25" x14ac:dyDescent="0.2">
      <c r="A106" s="16" t="s">
        <v>88</v>
      </c>
      <c r="B106" s="16" t="s">
        <v>9</v>
      </c>
      <c r="C106" s="82" t="s">
        <v>534</v>
      </c>
      <c r="D106" s="82" t="s">
        <v>211</v>
      </c>
      <c r="E106" s="98" t="s">
        <v>212</v>
      </c>
      <c r="F106" s="220">
        <v>286.2</v>
      </c>
      <c r="G106" s="220">
        <v>287</v>
      </c>
      <c r="H106" s="220">
        <v>287</v>
      </c>
    </row>
    <row r="107" spans="1:8" s="32" customFormat="1" ht="14.25" x14ac:dyDescent="0.2">
      <c r="A107" s="16" t="s">
        <v>88</v>
      </c>
      <c r="B107" s="16" t="s">
        <v>9</v>
      </c>
      <c r="C107" s="82" t="s">
        <v>534</v>
      </c>
      <c r="D107" s="16" t="s">
        <v>81</v>
      </c>
      <c r="E107" s="98" t="s">
        <v>82</v>
      </c>
      <c r="F107" s="220">
        <v>528</v>
      </c>
      <c r="G107" s="220">
        <v>528</v>
      </c>
      <c r="H107" s="220">
        <v>528</v>
      </c>
    </row>
    <row r="108" spans="1:8" s="32" customFormat="1" ht="14.25" x14ac:dyDescent="0.2">
      <c r="A108" s="16" t="s">
        <v>88</v>
      </c>
      <c r="B108" s="16" t="s">
        <v>9</v>
      </c>
      <c r="C108" s="82" t="s">
        <v>534</v>
      </c>
      <c r="D108" s="82" t="s">
        <v>748</v>
      </c>
      <c r="E108" s="173" t="s">
        <v>749</v>
      </c>
      <c r="F108" s="220">
        <v>15</v>
      </c>
      <c r="G108" s="220">
        <v>0</v>
      </c>
      <c r="H108" s="220">
        <v>0</v>
      </c>
    </row>
    <row r="109" spans="1:8" s="32" customFormat="1" ht="25.5" x14ac:dyDescent="0.2">
      <c r="A109" s="16" t="s">
        <v>88</v>
      </c>
      <c r="B109" s="16" t="s">
        <v>9</v>
      </c>
      <c r="C109" s="82" t="s">
        <v>534</v>
      </c>
      <c r="D109" s="82" t="s">
        <v>131</v>
      </c>
      <c r="E109" s="98" t="s">
        <v>132</v>
      </c>
      <c r="F109" s="220">
        <f>602+4630+40+960-18.8-15</f>
        <v>6198.2</v>
      </c>
      <c r="G109" s="220">
        <v>602</v>
      </c>
      <c r="H109" s="220">
        <v>602</v>
      </c>
    </row>
    <row r="110" spans="1:8" s="32" customFormat="1" ht="25.5" customHeight="1" x14ac:dyDescent="0.2">
      <c r="A110" s="16" t="s">
        <v>88</v>
      </c>
      <c r="B110" s="16" t="s">
        <v>9</v>
      </c>
      <c r="C110" s="82" t="s">
        <v>194</v>
      </c>
      <c r="D110" s="16"/>
      <c r="E110" s="99" t="s">
        <v>195</v>
      </c>
      <c r="F110" s="220">
        <f>F111+F114</f>
        <v>46034.600000000006</v>
      </c>
      <c r="G110" s="220">
        <f>G111+G114</f>
        <v>39315.700000000004</v>
      </c>
      <c r="H110" s="220">
        <f>H111+H114</f>
        <v>39315.700000000004</v>
      </c>
    </row>
    <row r="111" spans="1:8" s="32" customFormat="1" ht="38.25" x14ac:dyDescent="0.2">
      <c r="A111" s="16" t="s">
        <v>88</v>
      </c>
      <c r="B111" s="16" t="s">
        <v>9</v>
      </c>
      <c r="C111" s="21" t="s">
        <v>536</v>
      </c>
      <c r="D111" s="47"/>
      <c r="E111" s="54" t="s">
        <v>284</v>
      </c>
      <c r="F111" s="113">
        <f>SUM(F112:F113)</f>
        <v>11238.800000000001</v>
      </c>
      <c r="G111" s="113">
        <f>SUM(G112:G113)</f>
        <v>10807.1</v>
      </c>
      <c r="H111" s="113">
        <f>SUM(H112:H113)</f>
        <v>10807.1</v>
      </c>
    </row>
    <row r="112" spans="1:8" s="32" customFormat="1" ht="25.5" x14ac:dyDescent="0.2">
      <c r="A112" s="16" t="s">
        <v>88</v>
      </c>
      <c r="B112" s="16" t="s">
        <v>9</v>
      </c>
      <c r="C112" s="21" t="s">
        <v>536</v>
      </c>
      <c r="D112" s="16" t="s">
        <v>64</v>
      </c>
      <c r="E112" s="102" t="s">
        <v>130</v>
      </c>
      <c r="F112" s="113">
        <f>10020.7+431.7</f>
        <v>10452.400000000001</v>
      </c>
      <c r="G112" s="113">
        <v>10020.700000000001</v>
      </c>
      <c r="H112" s="113">
        <v>10020.700000000001</v>
      </c>
    </row>
    <row r="113" spans="1:8" s="32" customFormat="1" ht="38.25" x14ac:dyDescent="0.2">
      <c r="A113" s="16" t="s">
        <v>88</v>
      </c>
      <c r="B113" s="16" t="s">
        <v>9</v>
      </c>
      <c r="C113" s="21" t="s">
        <v>536</v>
      </c>
      <c r="D113" s="82" t="s">
        <v>211</v>
      </c>
      <c r="E113" s="98" t="s">
        <v>212</v>
      </c>
      <c r="F113" s="113">
        <v>786.4</v>
      </c>
      <c r="G113" s="113">
        <v>786.4</v>
      </c>
      <c r="H113" s="113">
        <v>786.4</v>
      </c>
    </row>
    <row r="114" spans="1:8" s="32" customFormat="1" ht="54.75" customHeight="1" x14ac:dyDescent="0.2">
      <c r="A114" s="16" t="s">
        <v>88</v>
      </c>
      <c r="B114" s="16" t="s">
        <v>9</v>
      </c>
      <c r="C114" s="21" t="s">
        <v>538</v>
      </c>
      <c r="D114" s="47"/>
      <c r="E114" s="54" t="s">
        <v>537</v>
      </c>
      <c r="F114" s="113">
        <f>SUM(F115:F118)</f>
        <v>34795.800000000003</v>
      </c>
      <c r="G114" s="113">
        <f>SUM(G115:G118)</f>
        <v>28508.600000000002</v>
      </c>
      <c r="H114" s="113">
        <f>SUM(H115:H118)</f>
        <v>28508.600000000002</v>
      </c>
    </row>
    <row r="115" spans="1:8" s="32" customFormat="1" ht="25.5" x14ac:dyDescent="0.2">
      <c r="A115" s="16" t="s">
        <v>88</v>
      </c>
      <c r="B115" s="16" t="s">
        <v>9</v>
      </c>
      <c r="C115" s="21" t="s">
        <v>538</v>
      </c>
      <c r="D115" s="16" t="s">
        <v>64</v>
      </c>
      <c r="E115" s="102" t="s">
        <v>130</v>
      </c>
      <c r="F115" s="113">
        <f>11105.9+224.2-17.6-16.9</f>
        <v>11295.6</v>
      </c>
      <c r="G115" s="113">
        <v>11105.9</v>
      </c>
      <c r="H115" s="113">
        <v>11105.9</v>
      </c>
    </row>
    <row r="116" spans="1:8" s="32" customFormat="1" ht="38.25" x14ac:dyDescent="0.2">
      <c r="A116" s="16" t="s">
        <v>88</v>
      </c>
      <c r="B116" s="16" t="s">
        <v>9</v>
      </c>
      <c r="C116" s="21" t="s">
        <v>538</v>
      </c>
      <c r="D116" s="82" t="s">
        <v>211</v>
      </c>
      <c r="E116" s="98" t="s">
        <v>212</v>
      </c>
      <c r="F116" s="113">
        <f>17241.4+6103.5</f>
        <v>23344.9</v>
      </c>
      <c r="G116" s="113">
        <v>17281.900000000001</v>
      </c>
      <c r="H116" s="113">
        <v>17281.900000000001</v>
      </c>
    </row>
    <row r="117" spans="1:8" s="32" customFormat="1" ht="38.25" x14ac:dyDescent="0.2">
      <c r="A117" s="16" t="s">
        <v>88</v>
      </c>
      <c r="B117" s="16" t="s">
        <v>9</v>
      </c>
      <c r="C117" s="21" t="s">
        <v>538</v>
      </c>
      <c r="D117" s="82" t="s">
        <v>260</v>
      </c>
      <c r="E117" s="98" t="s">
        <v>249</v>
      </c>
      <c r="F117" s="113">
        <f>17.6+16.9</f>
        <v>34.5</v>
      </c>
      <c r="G117" s="113">
        <v>0</v>
      </c>
      <c r="H117" s="113">
        <v>0</v>
      </c>
    </row>
    <row r="118" spans="1:8" s="32" customFormat="1" ht="25.5" x14ac:dyDescent="0.2">
      <c r="A118" s="16" t="s">
        <v>88</v>
      </c>
      <c r="B118" s="16" t="s">
        <v>9</v>
      </c>
      <c r="C118" s="21" t="s">
        <v>538</v>
      </c>
      <c r="D118" s="82" t="s">
        <v>131</v>
      </c>
      <c r="E118" s="98" t="s">
        <v>132</v>
      </c>
      <c r="F118" s="113">
        <v>120.8</v>
      </c>
      <c r="G118" s="113">
        <v>120.8</v>
      </c>
      <c r="H118" s="113">
        <v>120.8</v>
      </c>
    </row>
    <row r="119" spans="1:8" ht="45" x14ac:dyDescent="0.25">
      <c r="A119" s="4" t="s">
        <v>93</v>
      </c>
      <c r="B119" s="3"/>
      <c r="C119" s="3"/>
      <c r="D119" s="3"/>
      <c r="E119" s="49" t="s">
        <v>98</v>
      </c>
      <c r="F119" s="218">
        <f>F120+F125+F151</f>
        <v>11336.2</v>
      </c>
      <c r="G119" s="218">
        <f>G120+G125+G151</f>
        <v>9750</v>
      </c>
      <c r="H119" s="218">
        <f>H120+H125+H151</f>
        <v>9720.6</v>
      </c>
    </row>
    <row r="120" spans="1:8" ht="15" x14ac:dyDescent="0.25">
      <c r="A120" s="28" t="s">
        <v>93</v>
      </c>
      <c r="B120" s="28" t="s">
        <v>94</v>
      </c>
      <c r="C120" s="28"/>
      <c r="D120" s="34"/>
      <c r="E120" s="46" t="s">
        <v>18</v>
      </c>
      <c r="F120" s="219">
        <f>F123</f>
        <v>1414.2</v>
      </c>
      <c r="G120" s="219">
        <f>G123</f>
        <v>1414.2</v>
      </c>
      <c r="H120" s="219">
        <f>H123</f>
        <v>1414.2</v>
      </c>
    </row>
    <row r="121" spans="1:8" ht="25.5" x14ac:dyDescent="0.2">
      <c r="A121" s="16" t="s">
        <v>93</v>
      </c>
      <c r="B121" s="16" t="s">
        <v>94</v>
      </c>
      <c r="C121" s="79">
        <v>9900000000</v>
      </c>
      <c r="D121" s="34"/>
      <c r="E121" s="55" t="s">
        <v>144</v>
      </c>
      <c r="F121" s="113">
        <f t="shared" ref="F121:H122" si="19">F122</f>
        <v>1414.2</v>
      </c>
      <c r="G121" s="113">
        <f t="shared" si="19"/>
        <v>1414.2</v>
      </c>
      <c r="H121" s="113">
        <f t="shared" si="19"/>
        <v>1414.2</v>
      </c>
    </row>
    <row r="122" spans="1:8" ht="25.5" x14ac:dyDescent="0.2">
      <c r="A122" s="16" t="s">
        <v>93</v>
      </c>
      <c r="B122" s="16" t="s">
        <v>94</v>
      </c>
      <c r="C122" s="79">
        <v>9930000000</v>
      </c>
      <c r="D122" s="16"/>
      <c r="E122" s="22" t="s">
        <v>40</v>
      </c>
      <c r="F122" s="113">
        <f t="shared" si="19"/>
        <v>1414.2</v>
      </c>
      <c r="G122" s="113">
        <f t="shared" si="19"/>
        <v>1414.2</v>
      </c>
      <c r="H122" s="113">
        <f t="shared" si="19"/>
        <v>1414.2</v>
      </c>
    </row>
    <row r="123" spans="1:8" ht="51" x14ac:dyDescent="0.2">
      <c r="A123" s="16" t="s">
        <v>93</v>
      </c>
      <c r="B123" s="16" t="s">
        <v>94</v>
      </c>
      <c r="C123" s="79">
        <v>9930059302</v>
      </c>
      <c r="D123" s="16"/>
      <c r="E123" s="99" t="s">
        <v>364</v>
      </c>
      <c r="F123" s="220">
        <f>SUM(F124:F124)</f>
        <v>1414.2</v>
      </c>
      <c r="G123" s="220">
        <f>SUM(G124:G124)</f>
        <v>1414.2</v>
      </c>
      <c r="H123" s="220">
        <f>SUM(H124:H124)</f>
        <v>1414.2</v>
      </c>
    </row>
    <row r="124" spans="1:8" ht="38.25" x14ac:dyDescent="0.2">
      <c r="A124" s="16" t="s">
        <v>93</v>
      </c>
      <c r="B124" s="16" t="s">
        <v>94</v>
      </c>
      <c r="C124" s="79">
        <v>9930059302</v>
      </c>
      <c r="D124" s="16" t="s">
        <v>62</v>
      </c>
      <c r="E124" s="55" t="s">
        <v>63</v>
      </c>
      <c r="F124" s="220">
        <v>1414.2</v>
      </c>
      <c r="G124" s="220">
        <v>1414.2</v>
      </c>
      <c r="H124" s="220">
        <v>1414.2</v>
      </c>
    </row>
    <row r="125" spans="1:8" s="32" customFormat="1" ht="51.75" x14ac:dyDescent="0.25">
      <c r="A125" s="28" t="s">
        <v>93</v>
      </c>
      <c r="B125" s="28" t="s">
        <v>110</v>
      </c>
      <c r="C125" s="28"/>
      <c r="D125" s="34"/>
      <c r="E125" s="48" t="s">
        <v>372</v>
      </c>
      <c r="F125" s="219">
        <f>F126+F146</f>
        <v>9888</v>
      </c>
      <c r="G125" s="219">
        <f>G126+G146</f>
        <v>8272.4</v>
      </c>
      <c r="H125" s="219">
        <f>H126+H146</f>
        <v>8272.4</v>
      </c>
    </row>
    <row r="126" spans="1:8" s="32" customFormat="1" ht="90" x14ac:dyDescent="0.25">
      <c r="A126" s="21" t="s">
        <v>93</v>
      </c>
      <c r="B126" s="21" t="s">
        <v>110</v>
      </c>
      <c r="C126" s="73" t="s">
        <v>50</v>
      </c>
      <c r="D126" s="16"/>
      <c r="E126" s="64" t="s">
        <v>583</v>
      </c>
      <c r="F126" s="217">
        <f>F127+F132+F136+F141</f>
        <v>2878</v>
      </c>
      <c r="G126" s="217">
        <f>G127+G132+G136+G141</f>
        <v>1500</v>
      </c>
      <c r="H126" s="217">
        <f>H127+H132+H136+H141</f>
        <v>1500</v>
      </c>
    </row>
    <row r="127" spans="1:8" s="32" customFormat="1" ht="63.75" x14ac:dyDescent="0.2">
      <c r="A127" s="21" t="s">
        <v>93</v>
      </c>
      <c r="B127" s="21" t="s">
        <v>110</v>
      </c>
      <c r="C127" s="52" t="s">
        <v>51</v>
      </c>
      <c r="D127" s="16"/>
      <c r="E127" s="48" t="s">
        <v>203</v>
      </c>
      <c r="F127" s="119">
        <f>F128+F130</f>
        <v>143.5</v>
      </c>
      <c r="G127" s="119">
        <f>G128+G130</f>
        <v>80</v>
      </c>
      <c r="H127" s="119">
        <f>H128+H130</f>
        <v>80</v>
      </c>
    </row>
    <row r="128" spans="1:8" s="32" customFormat="1" ht="38.25" x14ac:dyDescent="0.2">
      <c r="A128" s="21" t="s">
        <v>93</v>
      </c>
      <c r="B128" s="21" t="s">
        <v>110</v>
      </c>
      <c r="C128" s="74">
        <v>1110123305</v>
      </c>
      <c r="D128" s="16"/>
      <c r="E128" s="99" t="s">
        <v>217</v>
      </c>
      <c r="F128" s="220">
        <f>F129</f>
        <v>100.1</v>
      </c>
      <c r="G128" s="220">
        <f>G129</f>
        <v>40</v>
      </c>
      <c r="H128" s="220">
        <f>H129</f>
        <v>40</v>
      </c>
    </row>
    <row r="129" spans="1:8" s="32" customFormat="1" ht="38.25" x14ac:dyDescent="0.2">
      <c r="A129" s="21" t="s">
        <v>93</v>
      </c>
      <c r="B129" s="21" t="s">
        <v>110</v>
      </c>
      <c r="C129" s="74">
        <v>1110123305</v>
      </c>
      <c r="D129" s="82" t="s">
        <v>211</v>
      </c>
      <c r="E129" s="98" t="s">
        <v>212</v>
      </c>
      <c r="F129" s="220">
        <f>40+63.5-3.4</f>
        <v>100.1</v>
      </c>
      <c r="G129" s="220">
        <v>40</v>
      </c>
      <c r="H129" s="220">
        <v>40</v>
      </c>
    </row>
    <row r="130" spans="1:8" s="32" customFormat="1" ht="50.25" customHeight="1" x14ac:dyDescent="0.2">
      <c r="A130" s="21" t="s">
        <v>93</v>
      </c>
      <c r="B130" s="21" t="s">
        <v>110</v>
      </c>
      <c r="C130" s="74">
        <v>1110123310</v>
      </c>
      <c r="D130" s="16"/>
      <c r="E130" s="99" t="s">
        <v>205</v>
      </c>
      <c r="F130" s="113">
        <f>F131</f>
        <v>43.4</v>
      </c>
      <c r="G130" s="113">
        <f>G131</f>
        <v>40</v>
      </c>
      <c r="H130" s="113">
        <f>H131</f>
        <v>40</v>
      </c>
    </row>
    <row r="131" spans="1:8" s="32" customFormat="1" ht="38.25" x14ac:dyDescent="0.2">
      <c r="A131" s="21" t="s">
        <v>93</v>
      </c>
      <c r="B131" s="21" t="s">
        <v>110</v>
      </c>
      <c r="C131" s="74">
        <v>1110123310</v>
      </c>
      <c r="D131" s="82" t="s">
        <v>211</v>
      </c>
      <c r="E131" s="98" t="s">
        <v>212</v>
      </c>
      <c r="F131" s="220">
        <f>40+3.4</f>
        <v>43.4</v>
      </c>
      <c r="G131" s="220">
        <v>40</v>
      </c>
      <c r="H131" s="220">
        <v>40</v>
      </c>
    </row>
    <row r="132" spans="1:8" s="32" customFormat="1" ht="38.25" x14ac:dyDescent="0.2">
      <c r="A132" s="21" t="s">
        <v>93</v>
      </c>
      <c r="B132" s="21" t="s">
        <v>110</v>
      </c>
      <c r="C132" s="52" t="s">
        <v>52</v>
      </c>
      <c r="D132" s="16"/>
      <c r="E132" s="48" t="s">
        <v>199</v>
      </c>
      <c r="F132" s="119">
        <f>F133</f>
        <v>2709.5</v>
      </c>
      <c r="G132" s="119">
        <f>G133</f>
        <v>1400</v>
      </c>
      <c r="H132" s="119">
        <f>H133</f>
        <v>1400</v>
      </c>
    </row>
    <row r="133" spans="1:8" s="32" customFormat="1" ht="38.25" x14ac:dyDescent="0.2">
      <c r="A133" s="21" t="s">
        <v>93</v>
      </c>
      <c r="B133" s="21" t="s">
        <v>110</v>
      </c>
      <c r="C133" s="74">
        <v>1120123315</v>
      </c>
      <c r="D133" s="16"/>
      <c r="E133" s="98" t="s">
        <v>516</v>
      </c>
      <c r="F133" s="113">
        <f>SUM(F134:F135)</f>
        <v>2709.5</v>
      </c>
      <c r="G133" s="113">
        <f>SUM(G134:G135)</f>
        <v>1400</v>
      </c>
      <c r="H133" s="113">
        <f>SUM(H134:H135)</f>
        <v>1400</v>
      </c>
    </row>
    <row r="134" spans="1:8" s="32" customFormat="1" ht="25.5" x14ac:dyDescent="0.2">
      <c r="A134" s="21" t="s">
        <v>93</v>
      </c>
      <c r="B134" s="21" t="s">
        <v>110</v>
      </c>
      <c r="C134" s="74">
        <v>1120123315</v>
      </c>
      <c r="D134" s="82" t="s">
        <v>64</v>
      </c>
      <c r="E134" s="55" t="s">
        <v>130</v>
      </c>
      <c r="F134" s="113">
        <v>118</v>
      </c>
      <c r="G134" s="113">
        <v>51.2</v>
      </c>
      <c r="H134" s="113">
        <v>51.2</v>
      </c>
    </row>
    <row r="135" spans="1:8" s="32" customFormat="1" ht="38.25" x14ac:dyDescent="0.2">
      <c r="A135" s="21" t="s">
        <v>93</v>
      </c>
      <c r="B135" s="21" t="s">
        <v>110</v>
      </c>
      <c r="C135" s="74">
        <v>1120123315</v>
      </c>
      <c r="D135" s="82" t="s">
        <v>211</v>
      </c>
      <c r="E135" s="98" t="s">
        <v>212</v>
      </c>
      <c r="F135" s="113">
        <f>2147.1+444.4</f>
        <v>2591.5</v>
      </c>
      <c r="G135" s="113">
        <v>1348.8</v>
      </c>
      <c r="H135" s="113">
        <v>1348.8</v>
      </c>
    </row>
    <row r="136" spans="1:8" s="32" customFormat="1" ht="51" x14ac:dyDescent="0.2">
      <c r="A136" s="21" t="s">
        <v>93</v>
      </c>
      <c r="B136" s="21" t="s">
        <v>110</v>
      </c>
      <c r="C136" s="52" t="s">
        <v>53</v>
      </c>
      <c r="D136" s="16"/>
      <c r="E136" s="48" t="s">
        <v>250</v>
      </c>
      <c r="F136" s="119">
        <f>F137+F139</f>
        <v>10</v>
      </c>
      <c r="G136" s="119">
        <f>G137+G139</f>
        <v>5</v>
      </c>
      <c r="H136" s="119">
        <f>H137+H139</f>
        <v>5</v>
      </c>
    </row>
    <row r="137" spans="1:8" s="32" customFormat="1" ht="25.5" x14ac:dyDescent="0.2">
      <c r="A137" s="21" t="s">
        <v>93</v>
      </c>
      <c r="B137" s="21" t="s">
        <v>110</v>
      </c>
      <c r="C137" s="74">
        <v>1130123320</v>
      </c>
      <c r="D137" s="16"/>
      <c r="E137" s="98" t="s">
        <v>251</v>
      </c>
      <c r="F137" s="113">
        <f>F138</f>
        <v>7.9</v>
      </c>
      <c r="G137" s="113">
        <f>G138</f>
        <v>4</v>
      </c>
      <c r="H137" s="113">
        <f>H138</f>
        <v>4</v>
      </c>
    </row>
    <row r="138" spans="1:8" s="32" customFormat="1" ht="38.25" x14ac:dyDescent="0.2">
      <c r="A138" s="21" t="s">
        <v>93</v>
      </c>
      <c r="B138" s="21" t="s">
        <v>110</v>
      </c>
      <c r="C138" s="74">
        <v>1130123320</v>
      </c>
      <c r="D138" s="82" t="s">
        <v>211</v>
      </c>
      <c r="E138" s="98" t="s">
        <v>212</v>
      </c>
      <c r="F138" s="113">
        <f>8-0.1</f>
        <v>7.9</v>
      </c>
      <c r="G138" s="113">
        <v>4</v>
      </c>
      <c r="H138" s="113">
        <v>4</v>
      </c>
    </row>
    <row r="139" spans="1:8" s="32" customFormat="1" ht="38.25" x14ac:dyDescent="0.2">
      <c r="A139" s="21" t="s">
        <v>93</v>
      </c>
      <c r="B139" s="21" t="s">
        <v>110</v>
      </c>
      <c r="C139" s="74">
        <v>1130123325</v>
      </c>
      <c r="D139" s="16"/>
      <c r="E139" s="98" t="s">
        <v>221</v>
      </c>
      <c r="F139" s="113">
        <f>F140</f>
        <v>2.1</v>
      </c>
      <c r="G139" s="113">
        <f>G140</f>
        <v>1</v>
      </c>
      <c r="H139" s="113">
        <f>H140</f>
        <v>1</v>
      </c>
    </row>
    <row r="140" spans="1:8" s="32" customFormat="1" ht="38.25" x14ac:dyDescent="0.2">
      <c r="A140" s="21" t="s">
        <v>93</v>
      </c>
      <c r="B140" s="21" t="s">
        <v>110</v>
      </c>
      <c r="C140" s="74">
        <v>1130123325</v>
      </c>
      <c r="D140" s="82" t="s">
        <v>211</v>
      </c>
      <c r="E140" s="98" t="s">
        <v>212</v>
      </c>
      <c r="F140" s="113">
        <f>2+0.1</f>
        <v>2.1</v>
      </c>
      <c r="G140" s="113">
        <v>1</v>
      </c>
      <c r="H140" s="113">
        <v>1</v>
      </c>
    </row>
    <row r="141" spans="1:8" s="32" customFormat="1" ht="63.75" x14ac:dyDescent="0.2">
      <c r="A141" s="21" t="s">
        <v>93</v>
      </c>
      <c r="B141" s="21" t="s">
        <v>110</v>
      </c>
      <c r="C141" s="52" t="s">
        <v>54</v>
      </c>
      <c r="D141" s="16"/>
      <c r="E141" s="48" t="s">
        <v>204</v>
      </c>
      <c r="F141" s="119">
        <f>F142+F144</f>
        <v>15</v>
      </c>
      <c r="G141" s="119">
        <f>G142+G144</f>
        <v>15</v>
      </c>
      <c r="H141" s="119">
        <f>H142+H144</f>
        <v>15</v>
      </c>
    </row>
    <row r="142" spans="1:8" s="32" customFormat="1" ht="25.5" x14ac:dyDescent="0.2">
      <c r="A142" s="21" t="s">
        <v>93</v>
      </c>
      <c r="B142" s="21" t="s">
        <v>110</v>
      </c>
      <c r="C142" s="74">
        <v>1140123330</v>
      </c>
      <c r="D142" s="16"/>
      <c r="E142" s="98" t="s">
        <v>193</v>
      </c>
      <c r="F142" s="113">
        <f>F143</f>
        <v>12</v>
      </c>
      <c r="G142" s="113">
        <f>G143</f>
        <v>12</v>
      </c>
      <c r="H142" s="113">
        <f>H143</f>
        <v>12</v>
      </c>
    </row>
    <row r="143" spans="1:8" s="32" customFormat="1" ht="38.25" x14ac:dyDescent="0.2">
      <c r="A143" s="21" t="s">
        <v>93</v>
      </c>
      <c r="B143" s="21" t="s">
        <v>110</v>
      </c>
      <c r="C143" s="74">
        <v>1140123330</v>
      </c>
      <c r="D143" s="82" t="s">
        <v>211</v>
      </c>
      <c r="E143" s="98" t="s">
        <v>212</v>
      </c>
      <c r="F143" s="113">
        <v>12</v>
      </c>
      <c r="G143" s="113">
        <v>12</v>
      </c>
      <c r="H143" s="113">
        <v>12</v>
      </c>
    </row>
    <row r="144" spans="1:8" s="32" customFormat="1" ht="38.25" x14ac:dyDescent="0.2">
      <c r="A144" s="21" t="s">
        <v>93</v>
      </c>
      <c r="B144" s="21" t="s">
        <v>110</v>
      </c>
      <c r="C144" s="74">
        <v>1140123335</v>
      </c>
      <c r="D144" s="16"/>
      <c r="E144" s="98" t="s">
        <v>223</v>
      </c>
      <c r="F144" s="113">
        <f>F145</f>
        <v>3</v>
      </c>
      <c r="G144" s="113">
        <f>G145</f>
        <v>3</v>
      </c>
      <c r="H144" s="113">
        <f>H145</f>
        <v>3</v>
      </c>
    </row>
    <row r="145" spans="1:8" s="32" customFormat="1" ht="38.25" x14ac:dyDescent="0.2">
      <c r="A145" s="21" t="s">
        <v>93</v>
      </c>
      <c r="B145" s="21" t="s">
        <v>110</v>
      </c>
      <c r="C145" s="74">
        <v>1140123335</v>
      </c>
      <c r="D145" s="82" t="s">
        <v>211</v>
      </c>
      <c r="E145" s="98" t="s">
        <v>212</v>
      </c>
      <c r="F145" s="113">
        <v>3</v>
      </c>
      <c r="G145" s="113">
        <v>3</v>
      </c>
      <c r="H145" s="113">
        <v>3</v>
      </c>
    </row>
    <row r="146" spans="1:8" s="32" customFormat="1" ht="25.5" x14ac:dyDescent="0.2">
      <c r="A146" s="81" t="s">
        <v>93</v>
      </c>
      <c r="B146" s="81" t="s">
        <v>110</v>
      </c>
      <c r="C146" s="73" t="s">
        <v>194</v>
      </c>
      <c r="D146" s="33"/>
      <c r="E146" s="84" t="s">
        <v>144</v>
      </c>
      <c r="F146" s="225">
        <f>F147</f>
        <v>7010</v>
      </c>
      <c r="G146" s="225">
        <f>G147</f>
        <v>6772.4</v>
      </c>
      <c r="H146" s="225">
        <f>H147</f>
        <v>6772.4</v>
      </c>
    </row>
    <row r="147" spans="1:8" s="32" customFormat="1" ht="63.75" x14ac:dyDescent="0.2">
      <c r="A147" s="21" t="s">
        <v>93</v>
      </c>
      <c r="B147" s="21" t="s">
        <v>110</v>
      </c>
      <c r="C147" s="21" t="s">
        <v>535</v>
      </c>
      <c r="D147" s="47"/>
      <c r="E147" s="54" t="s">
        <v>539</v>
      </c>
      <c r="F147" s="113">
        <f>SUM(F148:F150)</f>
        <v>7010</v>
      </c>
      <c r="G147" s="113">
        <f>SUM(G148:G150)</f>
        <v>6772.4</v>
      </c>
      <c r="H147" s="113">
        <f>SUM(H148:H150)</f>
        <v>6772.4</v>
      </c>
    </row>
    <row r="148" spans="1:8" s="32" customFormat="1" ht="25.5" x14ac:dyDescent="0.2">
      <c r="A148" s="21" t="s">
        <v>93</v>
      </c>
      <c r="B148" s="21" t="s">
        <v>110</v>
      </c>
      <c r="C148" s="21" t="s">
        <v>535</v>
      </c>
      <c r="D148" s="16" t="s">
        <v>64</v>
      </c>
      <c r="E148" s="102" t="s">
        <v>130</v>
      </c>
      <c r="F148" s="113">
        <f>6007.4+237.6</f>
        <v>6245</v>
      </c>
      <c r="G148" s="113">
        <v>6007.4</v>
      </c>
      <c r="H148" s="113">
        <v>6007.4</v>
      </c>
    </row>
    <row r="149" spans="1:8" s="32" customFormat="1" ht="38.25" x14ac:dyDescent="0.2">
      <c r="A149" s="21" t="s">
        <v>93</v>
      </c>
      <c r="B149" s="21" t="s">
        <v>110</v>
      </c>
      <c r="C149" s="21" t="s">
        <v>535</v>
      </c>
      <c r="D149" s="82" t="s">
        <v>211</v>
      </c>
      <c r="E149" s="98" t="s">
        <v>212</v>
      </c>
      <c r="F149" s="113">
        <v>760</v>
      </c>
      <c r="G149" s="113">
        <v>760</v>
      </c>
      <c r="H149" s="113">
        <v>760</v>
      </c>
    </row>
    <row r="150" spans="1:8" s="32" customFormat="1" ht="25.5" x14ac:dyDescent="0.2">
      <c r="A150" s="21" t="s">
        <v>93</v>
      </c>
      <c r="B150" s="21" t="s">
        <v>110</v>
      </c>
      <c r="C150" s="21" t="s">
        <v>535</v>
      </c>
      <c r="D150" s="82" t="s">
        <v>131</v>
      </c>
      <c r="E150" s="98" t="s">
        <v>132</v>
      </c>
      <c r="F150" s="113">
        <v>5</v>
      </c>
      <c r="G150" s="113">
        <v>5</v>
      </c>
      <c r="H150" s="113">
        <v>5</v>
      </c>
    </row>
    <row r="151" spans="1:8" s="32" customFormat="1" ht="39" x14ac:dyDescent="0.25">
      <c r="A151" s="28" t="s">
        <v>93</v>
      </c>
      <c r="B151" s="28" t="s">
        <v>121</v>
      </c>
      <c r="C151" s="28"/>
      <c r="D151" s="34"/>
      <c r="E151" s="46" t="s">
        <v>22</v>
      </c>
      <c r="F151" s="219">
        <f>F152+F156</f>
        <v>34</v>
      </c>
      <c r="G151" s="219">
        <f>G152+G156</f>
        <v>63.4</v>
      </c>
      <c r="H151" s="219">
        <f>H152+H156</f>
        <v>34</v>
      </c>
    </row>
    <row r="152" spans="1:8" s="32" customFormat="1" ht="89.25" x14ac:dyDescent="0.2">
      <c r="A152" s="73" t="s">
        <v>93</v>
      </c>
      <c r="B152" s="73" t="s">
        <v>121</v>
      </c>
      <c r="C152" s="73" t="s">
        <v>71</v>
      </c>
      <c r="D152" s="16"/>
      <c r="E152" s="53" t="s">
        <v>582</v>
      </c>
      <c r="F152" s="117">
        <f t="shared" ref="F152:H154" si="20">F153</f>
        <v>34</v>
      </c>
      <c r="G152" s="117">
        <f t="shared" si="20"/>
        <v>34</v>
      </c>
      <c r="H152" s="117">
        <f t="shared" si="20"/>
        <v>34</v>
      </c>
    </row>
    <row r="153" spans="1:8" s="32" customFormat="1" ht="51" x14ac:dyDescent="0.2">
      <c r="A153" s="21" t="s">
        <v>93</v>
      </c>
      <c r="B153" s="21" t="s">
        <v>121</v>
      </c>
      <c r="C153" s="52" t="s">
        <v>72</v>
      </c>
      <c r="D153" s="16"/>
      <c r="E153" s="60" t="s">
        <v>187</v>
      </c>
      <c r="F153" s="226">
        <f t="shared" si="20"/>
        <v>34</v>
      </c>
      <c r="G153" s="226">
        <f t="shared" si="20"/>
        <v>34</v>
      </c>
      <c r="H153" s="226">
        <f t="shared" si="20"/>
        <v>34</v>
      </c>
    </row>
    <row r="154" spans="1:8" s="32" customFormat="1" ht="63.75" x14ac:dyDescent="0.2">
      <c r="A154" s="21" t="s">
        <v>93</v>
      </c>
      <c r="B154" s="21" t="s">
        <v>121</v>
      </c>
      <c r="C154" s="21" t="s">
        <v>513</v>
      </c>
      <c r="D154" s="16"/>
      <c r="E154" s="98" t="s">
        <v>338</v>
      </c>
      <c r="F154" s="113">
        <f t="shared" si="20"/>
        <v>34</v>
      </c>
      <c r="G154" s="113">
        <f t="shared" si="20"/>
        <v>34</v>
      </c>
      <c r="H154" s="113">
        <f t="shared" si="20"/>
        <v>34</v>
      </c>
    </row>
    <row r="155" spans="1:8" s="32" customFormat="1" ht="25.5" x14ac:dyDescent="0.2">
      <c r="A155" s="21" t="s">
        <v>93</v>
      </c>
      <c r="B155" s="21" t="s">
        <v>121</v>
      </c>
      <c r="C155" s="21" t="s">
        <v>513</v>
      </c>
      <c r="D155" s="82" t="s">
        <v>64</v>
      </c>
      <c r="E155" s="55" t="s">
        <v>130</v>
      </c>
      <c r="F155" s="113">
        <v>34</v>
      </c>
      <c r="G155" s="113">
        <v>34</v>
      </c>
      <c r="H155" s="113">
        <v>34</v>
      </c>
    </row>
    <row r="156" spans="1:8" s="32" customFormat="1" ht="89.25" customHeight="1" x14ac:dyDescent="0.2">
      <c r="A156" s="73" t="s">
        <v>93</v>
      </c>
      <c r="B156" s="73" t="s">
        <v>121</v>
      </c>
      <c r="C156" s="73" t="s">
        <v>227</v>
      </c>
      <c r="D156" s="16"/>
      <c r="E156" s="64" t="s">
        <v>588</v>
      </c>
      <c r="F156" s="117">
        <f>F157+F160</f>
        <v>0</v>
      </c>
      <c r="G156" s="117">
        <f>G157+G160</f>
        <v>29.4</v>
      </c>
      <c r="H156" s="117">
        <f>H157+H160</f>
        <v>0</v>
      </c>
    </row>
    <row r="157" spans="1:8" s="32" customFormat="1" ht="51" x14ac:dyDescent="0.2">
      <c r="A157" s="21" t="s">
        <v>93</v>
      </c>
      <c r="B157" s="21" t="s">
        <v>121</v>
      </c>
      <c r="C157" s="52" t="s">
        <v>228</v>
      </c>
      <c r="D157" s="16"/>
      <c r="E157" s="48" t="s">
        <v>229</v>
      </c>
      <c r="F157" s="226">
        <f>F158+F160</f>
        <v>0</v>
      </c>
      <c r="G157" s="226">
        <f>G158</f>
        <v>23.4</v>
      </c>
      <c r="H157" s="226">
        <f>H158</f>
        <v>0</v>
      </c>
    </row>
    <row r="158" spans="1:8" s="32" customFormat="1" ht="38.25" x14ac:dyDescent="0.2">
      <c r="A158" s="21" t="s">
        <v>93</v>
      </c>
      <c r="B158" s="21" t="s">
        <v>121</v>
      </c>
      <c r="C158" s="21" t="s">
        <v>532</v>
      </c>
      <c r="D158" s="16"/>
      <c r="E158" s="98" t="s">
        <v>357</v>
      </c>
      <c r="F158" s="224">
        <f>F159</f>
        <v>0</v>
      </c>
      <c r="G158" s="224">
        <f>G159</f>
        <v>23.4</v>
      </c>
      <c r="H158" s="224">
        <f>H159</f>
        <v>0</v>
      </c>
    </row>
    <row r="159" spans="1:8" s="32" customFormat="1" ht="38.25" x14ac:dyDescent="0.2">
      <c r="A159" s="21" t="s">
        <v>93</v>
      </c>
      <c r="B159" s="21" t="s">
        <v>121</v>
      </c>
      <c r="C159" s="21" t="s">
        <v>532</v>
      </c>
      <c r="D159" s="82" t="s">
        <v>211</v>
      </c>
      <c r="E159" s="98" t="s">
        <v>212</v>
      </c>
      <c r="F159" s="113">
        <v>0</v>
      </c>
      <c r="G159" s="113">
        <v>23.4</v>
      </c>
      <c r="H159" s="113">
        <v>0</v>
      </c>
    </row>
    <row r="160" spans="1:8" s="32" customFormat="1" ht="25.5" x14ac:dyDescent="0.2">
      <c r="A160" s="21" t="s">
        <v>93</v>
      </c>
      <c r="B160" s="21" t="s">
        <v>121</v>
      </c>
      <c r="C160" s="21" t="s">
        <v>533</v>
      </c>
      <c r="D160" s="16"/>
      <c r="E160" s="98" t="s">
        <v>358</v>
      </c>
      <c r="F160" s="224">
        <f>F161</f>
        <v>0</v>
      </c>
      <c r="G160" s="224">
        <f>G161</f>
        <v>6</v>
      </c>
      <c r="H160" s="224">
        <f>H161</f>
        <v>0</v>
      </c>
    </row>
    <row r="161" spans="1:8" s="32" customFormat="1" ht="38.25" x14ac:dyDescent="0.2">
      <c r="A161" s="21" t="s">
        <v>93</v>
      </c>
      <c r="B161" s="21" t="s">
        <v>121</v>
      </c>
      <c r="C161" s="21" t="s">
        <v>533</v>
      </c>
      <c r="D161" s="82" t="s">
        <v>211</v>
      </c>
      <c r="E161" s="98" t="s">
        <v>212</v>
      </c>
      <c r="F161" s="113">
        <v>0</v>
      </c>
      <c r="G161" s="113">
        <v>6</v>
      </c>
      <c r="H161" s="113">
        <v>0</v>
      </c>
    </row>
    <row r="162" spans="1:8" s="32" customFormat="1" ht="15.75" x14ac:dyDescent="0.25">
      <c r="A162" s="4" t="s">
        <v>94</v>
      </c>
      <c r="B162" s="3"/>
      <c r="C162" s="3"/>
      <c r="D162" s="3"/>
      <c r="E162" s="49" t="s">
        <v>100</v>
      </c>
      <c r="F162" s="218">
        <f>F163+F176+F189+F226</f>
        <v>244828.79999999999</v>
      </c>
      <c r="G162" s="218">
        <f>G163+G176+G189+G226</f>
        <v>182614</v>
      </c>
      <c r="H162" s="218">
        <f>H163+H176+H189+H226</f>
        <v>180426.30000000002</v>
      </c>
    </row>
    <row r="163" spans="1:8" s="32" customFormat="1" ht="14.25" x14ac:dyDescent="0.2">
      <c r="A163" s="30" t="s">
        <v>94</v>
      </c>
      <c r="B163" s="30" t="s">
        <v>95</v>
      </c>
      <c r="C163" s="30"/>
      <c r="D163" s="30"/>
      <c r="E163" s="45" t="s">
        <v>103</v>
      </c>
      <c r="F163" s="219">
        <f>F164+F171</f>
        <v>4254</v>
      </c>
      <c r="G163" s="219">
        <f>G164+G171</f>
        <v>2222.9</v>
      </c>
      <c r="H163" s="219">
        <f>H164+H171</f>
        <v>2222.9</v>
      </c>
    </row>
    <row r="164" spans="1:8" s="32" customFormat="1" ht="89.25" x14ac:dyDescent="0.2">
      <c r="A164" s="82" t="s">
        <v>94</v>
      </c>
      <c r="B164" s="82" t="s">
        <v>95</v>
      </c>
      <c r="C164" s="73" t="s">
        <v>69</v>
      </c>
      <c r="D164" s="16"/>
      <c r="E164" s="142" t="s">
        <v>576</v>
      </c>
      <c r="F164" s="117">
        <f>F165</f>
        <v>3298.7</v>
      </c>
      <c r="G164" s="117">
        <f>G165</f>
        <v>2159.9</v>
      </c>
      <c r="H164" s="117">
        <f>H165</f>
        <v>2159.9</v>
      </c>
    </row>
    <row r="165" spans="1:8" s="32" customFormat="1" ht="38.25" x14ac:dyDescent="0.2">
      <c r="A165" s="82" t="s">
        <v>94</v>
      </c>
      <c r="B165" s="82" t="s">
        <v>95</v>
      </c>
      <c r="C165" s="52" t="s">
        <v>163</v>
      </c>
      <c r="D165" s="16"/>
      <c r="E165" s="99" t="s">
        <v>162</v>
      </c>
      <c r="F165" s="220">
        <f>F166+F168</f>
        <v>3298.7</v>
      </c>
      <c r="G165" s="220">
        <f t="shared" ref="G165:H165" si="21">G166+G168</f>
        <v>2159.9</v>
      </c>
      <c r="H165" s="220">
        <f t="shared" si="21"/>
        <v>2159.9</v>
      </c>
    </row>
    <row r="166" spans="1:8" s="32" customFormat="1" ht="38.25" x14ac:dyDescent="0.2">
      <c r="A166" s="82" t="s">
        <v>94</v>
      </c>
      <c r="B166" s="82" t="s">
        <v>95</v>
      </c>
      <c r="C166" s="21" t="s">
        <v>619</v>
      </c>
      <c r="D166" s="16"/>
      <c r="E166" s="99" t="s">
        <v>644</v>
      </c>
      <c r="F166" s="220">
        <f>F167</f>
        <v>2400</v>
      </c>
      <c r="G166" s="220">
        <f t="shared" ref="G166" si="22">G167</f>
        <v>2159.9</v>
      </c>
      <c r="H166" s="220">
        <f t="shared" ref="H166" si="23">H167</f>
        <v>2159.9</v>
      </c>
    </row>
    <row r="167" spans="1:8" s="32" customFormat="1" ht="38.25" x14ac:dyDescent="0.2">
      <c r="A167" s="82" t="s">
        <v>94</v>
      </c>
      <c r="B167" s="82" t="s">
        <v>95</v>
      </c>
      <c r="C167" s="21" t="s">
        <v>619</v>
      </c>
      <c r="D167" s="82" t="s">
        <v>211</v>
      </c>
      <c r="E167" s="98" t="s">
        <v>212</v>
      </c>
      <c r="F167" s="220">
        <f>1500+890.1+9.9</f>
        <v>2400</v>
      </c>
      <c r="G167" s="220">
        <v>2159.9</v>
      </c>
      <c r="H167" s="220">
        <v>2159.9</v>
      </c>
    </row>
    <row r="168" spans="1:8" s="32" customFormat="1" ht="89.25" x14ac:dyDescent="0.2">
      <c r="A168" s="82" t="s">
        <v>94</v>
      </c>
      <c r="B168" s="82" t="s">
        <v>95</v>
      </c>
      <c r="C168" s="21" t="s">
        <v>758</v>
      </c>
      <c r="D168" s="82"/>
      <c r="E168" s="98" t="s">
        <v>759</v>
      </c>
      <c r="F168" s="220">
        <f>SUM(F169:F170)</f>
        <v>898.7</v>
      </c>
      <c r="G168" s="220">
        <f t="shared" ref="G168:H168" si="24">G169</f>
        <v>0</v>
      </c>
      <c r="H168" s="220">
        <f t="shared" si="24"/>
        <v>0</v>
      </c>
    </row>
    <row r="169" spans="1:8" s="32" customFormat="1" ht="38.25" x14ac:dyDescent="0.2">
      <c r="A169" s="82" t="s">
        <v>94</v>
      </c>
      <c r="B169" s="82" t="s">
        <v>95</v>
      </c>
      <c r="C169" s="21" t="s">
        <v>758</v>
      </c>
      <c r="D169" s="82" t="s">
        <v>211</v>
      </c>
      <c r="E169" s="98" t="s">
        <v>212</v>
      </c>
      <c r="F169" s="220">
        <v>738.2</v>
      </c>
      <c r="G169" s="220">
        <v>0</v>
      </c>
      <c r="H169" s="220">
        <v>0</v>
      </c>
    </row>
    <row r="170" spans="1:8" s="32" customFormat="1" ht="14.25" x14ac:dyDescent="0.2">
      <c r="A170" s="82" t="s">
        <v>94</v>
      </c>
      <c r="B170" s="82" t="s">
        <v>95</v>
      </c>
      <c r="C170" s="21" t="s">
        <v>758</v>
      </c>
      <c r="D170" s="82" t="s">
        <v>748</v>
      </c>
      <c r="E170" s="98" t="s">
        <v>749</v>
      </c>
      <c r="F170" s="220">
        <v>160.5</v>
      </c>
      <c r="G170" s="220">
        <v>0</v>
      </c>
      <c r="H170" s="220">
        <v>0</v>
      </c>
    </row>
    <row r="171" spans="1:8" s="32" customFormat="1" ht="89.25" x14ac:dyDescent="0.2">
      <c r="A171" s="5" t="s">
        <v>94</v>
      </c>
      <c r="B171" s="5" t="s">
        <v>95</v>
      </c>
      <c r="C171" s="76">
        <v>400000000</v>
      </c>
      <c r="D171" s="30"/>
      <c r="E171" s="141" t="s">
        <v>575</v>
      </c>
      <c r="F171" s="117">
        <f t="shared" ref="F171:H174" si="25">F172</f>
        <v>955.3</v>
      </c>
      <c r="G171" s="117">
        <f t="shared" si="25"/>
        <v>63</v>
      </c>
      <c r="H171" s="117">
        <f t="shared" si="25"/>
        <v>63</v>
      </c>
    </row>
    <row r="172" spans="1:8" s="32" customFormat="1" ht="51.75" customHeight="1" x14ac:dyDescent="0.2">
      <c r="A172" s="47" t="s">
        <v>94</v>
      </c>
      <c r="B172" s="47" t="s">
        <v>95</v>
      </c>
      <c r="C172" s="75">
        <v>410000000</v>
      </c>
      <c r="D172" s="30"/>
      <c r="E172" s="46" t="s">
        <v>462</v>
      </c>
      <c r="F172" s="119">
        <f t="shared" si="25"/>
        <v>955.3</v>
      </c>
      <c r="G172" s="119">
        <f t="shared" si="25"/>
        <v>63</v>
      </c>
      <c r="H172" s="119">
        <f t="shared" si="25"/>
        <v>63</v>
      </c>
    </row>
    <row r="173" spans="1:8" s="32" customFormat="1" ht="51" x14ac:dyDescent="0.2">
      <c r="A173" s="82" t="s">
        <v>94</v>
      </c>
      <c r="B173" s="82" t="s">
        <v>95</v>
      </c>
      <c r="C173" s="74">
        <v>410100000</v>
      </c>
      <c r="D173" s="30"/>
      <c r="E173" s="97" t="s">
        <v>463</v>
      </c>
      <c r="F173" s="119">
        <f t="shared" si="25"/>
        <v>955.3</v>
      </c>
      <c r="G173" s="119">
        <f t="shared" si="25"/>
        <v>63</v>
      </c>
      <c r="H173" s="119">
        <f t="shared" si="25"/>
        <v>63</v>
      </c>
    </row>
    <row r="174" spans="1:8" s="32" customFormat="1" ht="25.5" x14ac:dyDescent="0.2">
      <c r="A174" s="82" t="s">
        <v>94</v>
      </c>
      <c r="B174" s="82" t="s">
        <v>95</v>
      </c>
      <c r="C174" s="135" t="s">
        <v>629</v>
      </c>
      <c r="D174" s="16"/>
      <c r="E174" s="99" t="s">
        <v>169</v>
      </c>
      <c r="F174" s="220">
        <f>F175</f>
        <v>955.3</v>
      </c>
      <c r="G174" s="220">
        <f t="shared" si="25"/>
        <v>63</v>
      </c>
      <c r="H174" s="220">
        <f t="shared" si="25"/>
        <v>63</v>
      </c>
    </row>
    <row r="175" spans="1:8" s="32" customFormat="1" ht="38.25" x14ac:dyDescent="0.2">
      <c r="A175" s="82" t="s">
        <v>94</v>
      </c>
      <c r="B175" s="82" t="s">
        <v>95</v>
      </c>
      <c r="C175" s="135" t="s">
        <v>629</v>
      </c>
      <c r="D175" s="82" t="s">
        <v>211</v>
      </c>
      <c r="E175" s="98" t="s">
        <v>212</v>
      </c>
      <c r="F175" s="220">
        <f>1160.5-205.2</f>
        <v>955.3</v>
      </c>
      <c r="G175" s="220">
        <v>63</v>
      </c>
      <c r="H175" s="220">
        <v>63</v>
      </c>
    </row>
    <row r="176" spans="1:8" ht="14.25" x14ac:dyDescent="0.2">
      <c r="A176" s="30" t="s">
        <v>94</v>
      </c>
      <c r="B176" s="30" t="s">
        <v>101</v>
      </c>
      <c r="C176" s="30"/>
      <c r="D176" s="30"/>
      <c r="E176" s="27" t="s">
        <v>1</v>
      </c>
      <c r="F176" s="219">
        <f t="shared" ref="F176:H177" si="26">F177</f>
        <v>31217.7</v>
      </c>
      <c r="G176" s="219">
        <f t="shared" si="26"/>
        <v>30503.600000000002</v>
      </c>
      <c r="H176" s="219">
        <f t="shared" si="26"/>
        <v>30447.100000000002</v>
      </c>
    </row>
    <row r="177" spans="1:12" ht="102" x14ac:dyDescent="0.2">
      <c r="A177" s="5" t="s">
        <v>94</v>
      </c>
      <c r="B177" s="5" t="s">
        <v>101</v>
      </c>
      <c r="C177" s="73" t="s">
        <v>67</v>
      </c>
      <c r="D177" s="30"/>
      <c r="E177" s="141" t="s">
        <v>581</v>
      </c>
      <c r="F177" s="117">
        <f t="shared" si="26"/>
        <v>31217.7</v>
      </c>
      <c r="G177" s="117">
        <f t="shared" si="26"/>
        <v>30503.600000000002</v>
      </c>
      <c r="H177" s="117">
        <f t="shared" si="26"/>
        <v>30447.100000000002</v>
      </c>
    </row>
    <row r="178" spans="1:12" ht="63.75" x14ac:dyDescent="0.2">
      <c r="A178" s="16" t="s">
        <v>94</v>
      </c>
      <c r="B178" s="16" t="s">
        <v>101</v>
      </c>
      <c r="C178" s="52" t="s">
        <v>214</v>
      </c>
      <c r="D178" s="30"/>
      <c r="E178" s="46" t="s">
        <v>186</v>
      </c>
      <c r="F178" s="119">
        <f>F179+F181+F183+F185+F187</f>
        <v>31217.7</v>
      </c>
      <c r="G178" s="119">
        <f t="shared" ref="G178:H178" si="27">G179+G181+G183+G185+G187</f>
        <v>30503.600000000002</v>
      </c>
      <c r="H178" s="119">
        <f t="shared" si="27"/>
        <v>30447.100000000002</v>
      </c>
    </row>
    <row r="179" spans="1:12" ht="76.5" x14ac:dyDescent="0.2">
      <c r="A179" s="16" t="s">
        <v>94</v>
      </c>
      <c r="B179" s="16" t="s">
        <v>101</v>
      </c>
      <c r="C179" s="74" t="s">
        <v>304</v>
      </c>
      <c r="D179" s="30"/>
      <c r="E179" s="97" t="s">
        <v>215</v>
      </c>
      <c r="F179" s="220">
        <f>F180</f>
        <v>5040</v>
      </c>
      <c r="G179" s="220">
        <f>G180</f>
        <v>5055.2</v>
      </c>
      <c r="H179" s="220">
        <f>H180</f>
        <v>5054.8999999999996</v>
      </c>
      <c r="J179" s="103"/>
      <c r="K179" s="103"/>
      <c r="L179" s="103"/>
    </row>
    <row r="180" spans="1:12" ht="38.25" x14ac:dyDescent="0.2">
      <c r="A180" s="16" t="s">
        <v>94</v>
      </c>
      <c r="B180" s="16" t="s">
        <v>101</v>
      </c>
      <c r="C180" s="74" t="s">
        <v>304</v>
      </c>
      <c r="D180" s="82" t="s">
        <v>211</v>
      </c>
      <c r="E180" s="98" t="s">
        <v>212</v>
      </c>
      <c r="F180" s="220">
        <v>5040</v>
      </c>
      <c r="G180" s="220">
        <v>5055.2</v>
      </c>
      <c r="H180" s="220">
        <v>5054.8999999999996</v>
      </c>
    </row>
    <row r="181" spans="1:12" ht="50.25" customHeight="1" x14ac:dyDescent="0.2">
      <c r="A181" s="16" t="s">
        <v>94</v>
      </c>
      <c r="B181" s="16" t="s">
        <v>101</v>
      </c>
      <c r="C181" s="74">
        <v>920110300</v>
      </c>
      <c r="D181" s="16"/>
      <c r="E181" s="97" t="s">
        <v>648</v>
      </c>
      <c r="F181" s="220">
        <f>F182</f>
        <v>20160.099999999999</v>
      </c>
      <c r="G181" s="220">
        <f>G182</f>
        <v>20220.7</v>
      </c>
      <c r="H181" s="220">
        <f>H182</f>
        <v>20219.5</v>
      </c>
    </row>
    <row r="182" spans="1:12" ht="38.25" x14ac:dyDescent="0.2">
      <c r="A182" s="16" t="s">
        <v>94</v>
      </c>
      <c r="B182" s="16" t="s">
        <v>101</v>
      </c>
      <c r="C182" s="74">
        <v>920110300</v>
      </c>
      <c r="D182" s="82" t="s">
        <v>211</v>
      </c>
      <c r="E182" s="98" t="s">
        <v>212</v>
      </c>
      <c r="F182" s="220">
        <v>20160.099999999999</v>
      </c>
      <c r="G182" s="220">
        <v>20220.7</v>
      </c>
      <c r="H182" s="220">
        <v>20219.5</v>
      </c>
    </row>
    <row r="183" spans="1:12" ht="63.75" x14ac:dyDescent="0.2">
      <c r="A183" s="16" t="s">
        <v>94</v>
      </c>
      <c r="B183" s="16" t="s">
        <v>101</v>
      </c>
      <c r="C183" s="74">
        <v>920123485</v>
      </c>
      <c r="D183" s="82"/>
      <c r="E183" s="54" t="s">
        <v>668</v>
      </c>
      <c r="F183" s="220">
        <f>F184</f>
        <v>3361.4</v>
      </c>
      <c r="G183" s="220">
        <f t="shared" ref="G183:H183" si="28">G184</f>
        <v>1413.8</v>
      </c>
      <c r="H183" s="220">
        <f t="shared" si="28"/>
        <v>1413.8</v>
      </c>
    </row>
    <row r="184" spans="1:12" ht="38.25" x14ac:dyDescent="0.2">
      <c r="A184" s="16" t="s">
        <v>94</v>
      </c>
      <c r="B184" s="16" t="s">
        <v>101</v>
      </c>
      <c r="C184" s="74">
        <v>920123485</v>
      </c>
      <c r="D184" s="82" t="s">
        <v>211</v>
      </c>
      <c r="E184" s="98" t="s">
        <v>212</v>
      </c>
      <c r="F184" s="220">
        <f>1413.8+979.2+314.5+310.6+343.3</f>
        <v>3361.4</v>
      </c>
      <c r="G184" s="220">
        <v>1413.8</v>
      </c>
      <c r="H184" s="220">
        <v>1413.8</v>
      </c>
    </row>
    <row r="185" spans="1:12" ht="63.75" x14ac:dyDescent="0.2">
      <c r="A185" s="16" t="s">
        <v>94</v>
      </c>
      <c r="B185" s="16" t="s">
        <v>101</v>
      </c>
      <c r="C185" s="74">
        <v>920123490</v>
      </c>
      <c r="D185" s="82"/>
      <c r="E185" s="54" t="s">
        <v>512</v>
      </c>
      <c r="F185" s="220">
        <f>F186</f>
        <v>0</v>
      </c>
      <c r="G185" s="220">
        <f>G186</f>
        <v>55</v>
      </c>
      <c r="H185" s="220">
        <f>H186</f>
        <v>0</v>
      </c>
    </row>
    <row r="186" spans="1:12" ht="38.25" x14ac:dyDescent="0.2">
      <c r="A186" s="16" t="s">
        <v>94</v>
      </c>
      <c r="B186" s="16" t="s">
        <v>101</v>
      </c>
      <c r="C186" s="74">
        <v>920123490</v>
      </c>
      <c r="D186" s="82" t="s">
        <v>211</v>
      </c>
      <c r="E186" s="98" t="s">
        <v>212</v>
      </c>
      <c r="F186" s="220">
        <v>0</v>
      </c>
      <c r="G186" s="220">
        <v>55</v>
      </c>
      <c r="H186" s="220">
        <v>0</v>
      </c>
    </row>
    <row r="187" spans="1:12" ht="89.25" x14ac:dyDescent="0.2">
      <c r="A187" s="16" t="s">
        <v>94</v>
      </c>
      <c r="B187" s="16" t="s">
        <v>101</v>
      </c>
      <c r="C187" s="74">
        <v>920123495</v>
      </c>
      <c r="D187" s="82"/>
      <c r="E187" s="54" t="s">
        <v>561</v>
      </c>
      <c r="F187" s="220">
        <f>F188</f>
        <v>2656.2</v>
      </c>
      <c r="G187" s="220">
        <f>G188</f>
        <v>3758.9</v>
      </c>
      <c r="H187" s="220">
        <f>H188</f>
        <v>3758.9</v>
      </c>
    </row>
    <row r="188" spans="1:12" ht="38.25" x14ac:dyDescent="0.2">
      <c r="A188" s="16" t="s">
        <v>94</v>
      </c>
      <c r="B188" s="16" t="s">
        <v>101</v>
      </c>
      <c r="C188" s="74">
        <v>920123495</v>
      </c>
      <c r="D188" s="82" t="s">
        <v>211</v>
      </c>
      <c r="E188" s="98" t="s">
        <v>212</v>
      </c>
      <c r="F188" s="220">
        <f>2500+156.2</f>
        <v>2656.2</v>
      </c>
      <c r="G188" s="220">
        <v>3758.9</v>
      </c>
      <c r="H188" s="220">
        <v>3758.9</v>
      </c>
    </row>
    <row r="189" spans="1:12" ht="28.5" x14ac:dyDescent="0.2">
      <c r="A189" s="30" t="s">
        <v>94</v>
      </c>
      <c r="B189" s="30" t="s">
        <v>99</v>
      </c>
      <c r="C189" s="30"/>
      <c r="D189" s="30"/>
      <c r="E189" s="50" t="s">
        <v>198</v>
      </c>
      <c r="F189" s="219">
        <f>F190+F212</f>
        <v>207665.1</v>
      </c>
      <c r="G189" s="219">
        <f>G190+G212</f>
        <v>148481.29999999999</v>
      </c>
      <c r="H189" s="219">
        <f>H190+H212</f>
        <v>146350.1</v>
      </c>
    </row>
    <row r="190" spans="1:12" ht="102" x14ac:dyDescent="0.2">
      <c r="A190" s="5" t="s">
        <v>94</v>
      </c>
      <c r="B190" s="5" t="s">
        <v>99</v>
      </c>
      <c r="C190" s="73" t="s">
        <v>67</v>
      </c>
      <c r="D190" s="30"/>
      <c r="E190" s="141" t="s">
        <v>581</v>
      </c>
      <c r="F190" s="117">
        <f>F191</f>
        <v>202607.6</v>
      </c>
      <c r="G190" s="117">
        <f>G191</f>
        <v>141596.4</v>
      </c>
      <c r="H190" s="117">
        <f>H191</f>
        <v>141652.9</v>
      </c>
    </row>
    <row r="191" spans="1:12" ht="63.75" x14ac:dyDescent="0.2">
      <c r="A191" s="16" t="s">
        <v>94</v>
      </c>
      <c r="B191" s="16" t="s">
        <v>99</v>
      </c>
      <c r="C191" s="52" t="s">
        <v>68</v>
      </c>
      <c r="D191" s="30"/>
      <c r="E191" s="46" t="s">
        <v>165</v>
      </c>
      <c r="F191" s="119">
        <f>F192+F194+F196+F198+F200+F202+F204+F206+F208+F210</f>
        <v>202607.6</v>
      </c>
      <c r="G191" s="119">
        <f t="shared" ref="G191:H191" si="29">G192+G194+G196+G198+G200+G202+G204+G206+G208+G210</f>
        <v>141596.4</v>
      </c>
      <c r="H191" s="119">
        <f t="shared" si="29"/>
        <v>141652.9</v>
      </c>
    </row>
    <row r="192" spans="1:12" ht="89.25" x14ac:dyDescent="0.2">
      <c r="A192" s="16" t="s">
        <v>94</v>
      </c>
      <c r="B192" s="16" t="s">
        <v>99</v>
      </c>
      <c r="C192" s="74">
        <v>910123405</v>
      </c>
      <c r="D192" s="30"/>
      <c r="E192" s="97" t="s">
        <v>294</v>
      </c>
      <c r="F192" s="220">
        <f>F193</f>
        <v>15159.4</v>
      </c>
      <c r="G192" s="220">
        <f>G193</f>
        <v>15386.8</v>
      </c>
      <c r="H192" s="220">
        <f>H193</f>
        <v>16489.8</v>
      </c>
    </row>
    <row r="193" spans="1:11" ht="38.25" x14ac:dyDescent="0.2">
      <c r="A193" s="16" t="s">
        <v>94</v>
      </c>
      <c r="B193" s="16" t="s">
        <v>99</v>
      </c>
      <c r="C193" s="74">
        <v>910123405</v>
      </c>
      <c r="D193" s="82" t="s">
        <v>211</v>
      </c>
      <c r="E193" s="98" t="s">
        <v>212</v>
      </c>
      <c r="F193" s="220">
        <f>15759.4-600</f>
        <v>15159.4</v>
      </c>
      <c r="G193" s="220">
        <v>15386.8</v>
      </c>
      <c r="H193" s="220">
        <v>16489.8</v>
      </c>
    </row>
    <row r="194" spans="1:11" ht="64.5" customHeight="1" x14ac:dyDescent="0.2">
      <c r="A194" s="16" t="s">
        <v>94</v>
      </c>
      <c r="B194" s="16" t="s">
        <v>99</v>
      </c>
      <c r="C194" s="74">
        <v>910110520</v>
      </c>
      <c r="D194" s="30"/>
      <c r="E194" s="97" t="s">
        <v>184</v>
      </c>
      <c r="F194" s="220">
        <f>F195</f>
        <v>25070.9</v>
      </c>
      <c r="G194" s="220">
        <f>G195</f>
        <v>26073.7</v>
      </c>
      <c r="H194" s="220">
        <f>H195</f>
        <v>27116.6</v>
      </c>
      <c r="J194" s="103"/>
      <c r="K194" s="103"/>
    </row>
    <row r="195" spans="1:11" ht="38.25" x14ac:dyDescent="0.2">
      <c r="A195" s="16" t="s">
        <v>94</v>
      </c>
      <c r="B195" s="16" t="s">
        <v>99</v>
      </c>
      <c r="C195" s="74">
        <v>910110520</v>
      </c>
      <c r="D195" s="82" t="s">
        <v>211</v>
      </c>
      <c r="E195" s="98" t="s">
        <v>212</v>
      </c>
      <c r="F195" s="220">
        <v>25070.9</v>
      </c>
      <c r="G195" s="220">
        <v>26073.7</v>
      </c>
      <c r="H195" s="220">
        <v>27116.6</v>
      </c>
    </row>
    <row r="196" spans="1:11" ht="25.5" x14ac:dyDescent="0.2">
      <c r="A196" s="16" t="s">
        <v>94</v>
      </c>
      <c r="B196" s="16" t="s">
        <v>99</v>
      </c>
      <c r="C196" s="74">
        <v>910123410</v>
      </c>
      <c r="D196" s="16"/>
      <c r="E196" s="98" t="s">
        <v>185</v>
      </c>
      <c r="F196" s="220">
        <f>F197</f>
        <v>22596.1</v>
      </c>
      <c r="G196" s="220">
        <f>G197</f>
        <v>21684.6</v>
      </c>
      <c r="H196" s="220">
        <f>H197</f>
        <v>16457</v>
      </c>
    </row>
    <row r="197" spans="1:11" ht="38.25" x14ac:dyDescent="0.2">
      <c r="A197" s="16" t="s">
        <v>94</v>
      </c>
      <c r="B197" s="16" t="s">
        <v>99</v>
      </c>
      <c r="C197" s="74">
        <v>910123410</v>
      </c>
      <c r="D197" s="82" t="s">
        <v>211</v>
      </c>
      <c r="E197" s="98" t="s">
        <v>212</v>
      </c>
      <c r="F197" s="220">
        <f>25695.2-535.4-2563.7</f>
        <v>22596.1</v>
      </c>
      <c r="G197" s="220">
        <v>21684.6</v>
      </c>
      <c r="H197" s="220">
        <v>16457</v>
      </c>
    </row>
    <row r="198" spans="1:11" ht="102" x14ac:dyDescent="0.2">
      <c r="A198" s="16" t="s">
        <v>94</v>
      </c>
      <c r="B198" s="16" t="s">
        <v>99</v>
      </c>
      <c r="C198" s="74">
        <v>910123415</v>
      </c>
      <c r="D198" s="82"/>
      <c r="E198" s="130" t="s">
        <v>724</v>
      </c>
      <c r="F198" s="220">
        <f>F199</f>
        <v>2260.8000000000002</v>
      </c>
      <c r="G198" s="220">
        <f t="shared" ref="G198:H198" si="30">G199</f>
        <v>0</v>
      </c>
      <c r="H198" s="220">
        <f t="shared" si="30"/>
        <v>0</v>
      </c>
    </row>
    <row r="199" spans="1:11" ht="38.25" x14ac:dyDescent="0.2">
      <c r="A199" s="16" t="s">
        <v>94</v>
      </c>
      <c r="B199" s="16" t="s">
        <v>99</v>
      </c>
      <c r="C199" s="74">
        <v>910123415</v>
      </c>
      <c r="D199" s="82" t="s">
        <v>211</v>
      </c>
      <c r="E199" s="98" t="s">
        <v>212</v>
      </c>
      <c r="F199" s="39">
        <f>2250+10.8</f>
        <v>2260.8000000000002</v>
      </c>
      <c r="G199" s="220">
        <v>0</v>
      </c>
      <c r="H199" s="220">
        <v>0</v>
      </c>
    </row>
    <row r="200" spans="1:11" ht="51" x14ac:dyDescent="0.2">
      <c r="A200" s="16" t="s">
        <v>94</v>
      </c>
      <c r="B200" s="16" t="s">
        <v>99</v>
      </c>
      <c r="C200" s="74" t="s">
        <v>346</v>
      </c>
      <c r="D200" s="82"/>
      <c r="E200" s="123" t="s">
        <v>345</v>
      </c>
      <c r="F200" s="220">
        <f>F201</f>
        <v>1450.1999999999998</v>
      </c>
      <c r="G200" s="220">
        <f>G201</f>
        <v>1267.4000000000001</v>
      </c>
      <c r="H200" s="220">
        <f>H201</f>
        <v>1318.2</v>
      </c>
    </row>
    <row r="201" spans="1:11" ht="38.25" x14ac:dyDescent="0.2">
      <c r="A201" s="16" t="s">
        <v>94</v>
      </c>
      <c r="B201" s="16" t="s">
        <v>99</v>
      </c>
      <c r="C201" s="74" t="s">
        <v>346</v>
      </c>
      <c r="D201" s="82" t="s">
        <v>211</v>
      </c>
      <c r="E201" s="98" t="s">
        <v>212</v>
      </c>
      <c r="F201" s="227">
        <f>1218.7+452.9+200-714.5+293.1</f>
        <v>1450.1999999999998</v>
      </c>
      <c r="G201" s="220">
        <v>1267.4000000000001</v>
      </c>
      <c r="H201" s="220">
        <v>1318.2</v>
      </c>
    </row>
    <row r="202" spans="1:11" ht="63.75" x14ac:dyDescent="0.2">
      <c r="A202" s="16" t="s">
        <v>94</v>
      </c>
      <c r="B202" s="16" t="s">
        <v>99</v>
      </c>
      <c r="C202" s="137" t="s">
        <v>509</v>
      </c>
      <c r="D202" s="82"/>
      <c r="E202" s="123" t="s">
        <v>347</v>
      </c>
      <c r="F202" s="220">
        <f>F203</f>
        <v>8031.9</v>
      </c>
      <c r="G202" s="220">
        <f>G203</f>
        <v>11406.7</v>
      </c>
      <c r="H202" s="220">
        <f>H203</f>
        <v>11863</v>
      </c>
    </row>
    <row r="203" spans="1:11" ht="38.25" x14ac:dyDescent="0.2">
      <c r="A203" s="16" t="s">
        <v>94</v>
      </c>
      <c r="B203" s="16" t="s">
        <v>99</v>
      </c>
      <c r="C203" s="137" t="s">
        <v>509</v>
      </c>
      <c r="D203" s="82" t="s">
        <v>211</v>
      </c>
      <c r="E203" s="98" t="s">
        <v>212</v>
      </c>
      <c r="F203" s="220">
        <f>10968-2936.1</f>
        <v>8031.9</v>
      </c>
      <c r="G203" s="220">
        <v>11406.7</v>
      </c>
      <c r="H203" s="220">
        <v>11863</v>
      </c>
    </row>
    <row r="204" spans="1:11" ht="25.5" x14ac:dyDescent="0.2">
      <c r="A204" s="16" t="s">
        <v>94</v>
      </c>
      <c r="B204" s="16" t="s">
        <v>99</v>
      </c>
      <c r="C204" s="74" t="s">
        <v>342</v>
      </c>
      <c r="D204" s="82"/>
      <c r="E204" s="98" t="s">
        <v>343</v>
      </c>
      <c r="F204" s="220">
        <f>F205</f>
        <v>13904.5</v>
      </c>
      <c r="G204" s="220">
        <f>G205</f>
        <v>6577.7</v>
      </c>
      <c r="H204" s="220">
        <f>H205</f>
        <v>6840.8</v>
      </c>
    </row>
    <row r="205" spans="1:11" ht="38.25" x14ac:dyDescent="0.2">
      <c r="A205" s="16" t="s">
        <v>94</v>
      </c>
      <c r="B205" s="16" t="s">
        <v>99</v>
      </c>
      <c r="C205" s="74" t="s">
        <v>342</v>
      </c>
      <c r="D205" s="82" t="s">
        <v>211</v>
      </c>
      <c r="E205" s="98" t="s">
        <v>212</v>
      </c>
      <c r="F205" s="220">
        <f>8777.9+6107.5-980.9</f>
        <v>13904.5</v>
      </c>
      <c r="G205" s="220">
        <v>6577.7</v>
      </c>
      <c r="H205" s="220">
        <v>6840.8</v>
      </c>
    </row>
    <row r="206" spans="1:11" ht="25.5" x14ac:dyDescent="0.2">
      <c r="A206" s="16" t="s">
        <v>94</v>
      </c>
      <c r="B206" s="16" t="s">
        <v>99</v>
      </c>
      <c r="C206" s="139" t="s">
        <v>510</v>
      </c>
      <c r="D206" s="82"/>
      <c r="E206" s="98" t="s">
        <v>344</v>
      </c>
      <c r="F206" s="220">
        <f>F207</f>
        <v>101125.1</v>
      </c>
      <c r="G206" s="220">
        <f>G207</f>
        <v>59199.5</v>
      </c>
      <c r="H206" s="220">
        <f>H207</f>
        <v>61567.5</v>
      </c>
    </row>
    <row r="207" spans="1:11" ht="38.25" x14ac:dyDescent="0.2">
      <c r="A207" s="16" t="s">
        <v>94</v>
      </c>
      <c r="B207" s="16" t="s">
        <v>99</v>
      </c>
      <c r="C207" s="139" t="s">
        <v>510</v>
      </c>
      <c r="D207" s="82" t="s">
        <v>211</v>
      </c>
      <c r="E207" s="98" t="s">
        <v>212</v>
      </c>
      <c r="F207" s="220">
        <f>58435.7+42689.4</f>
        <v>101125.1</v>
      </c>
      <c r="G207" s="220">
        <v>59199.5</v>
      </c>
      <c r="H207" s="220">
        <v>61567.5</v>
      </c>
    </row>
    <row r="208" spans="1:11" ht="25.5" x14ac:dyDescent="0.2">
      <c r="A208" s="16" t="s">
        <v>94</v>
      </c>
      <c r="B208" s="16" t="s">
        <v>99</v>
      </c>
      <c r="C208" s="74">
        <v>910123425</v>
      </c>
      <c r="D208" s="82"/>
      <c r="E208" s="98" t="s">
        <v>373</v>
      </c>
      <c r="F208" s="220">
        <f>F209</f>
        <v>10160.299999999999</v>
      </c>
      <c r="G208" s="220">
        <f>G209</f>
        <v>0</v>
      </c>
      <c r="H208" s="220">
        <f>H209</f>
        <v>0</v>
      </c>
    </row>
    <row r="209" spans="1:12" ht="38.25" x14ac:dyDescent="0.2">
      <c r="A209" s="16" t="s">
        <v>94</v>
      </c>
      <c r="B209" s="16" t="s">
        <v>99</v>
      </c>
      <c r="C209" s="74">
        <v>910123425</v>
      </c>
      <c r="D209" s="82" t="s">
        <v>211</v>
      </c>
      <c r="E209" s="98" t="s">
        <v>212</v>
      </c>
      <c r="F209" s="220">
        <f>2448.7+5498.9+3253.7-1041</f>
        <v>10160.299999999999</v>
      </c>
      <c r="G209" s="220">
        <v>0</v>
      </c>
      <c r="H209" s="220">
        <v>0</v>
      </c>
    </row>
    <row r="210" spans="1:12" x14ac:dyDescent="0.2">
      <c r="A210" s="16" t="s">
        <v>94</v>
      </c>
      <c r="B210" s="16" t="s">
        <v>99</v>
      </c>
      <c r="C210" s="74">
        <v>910123430</v>
      </c>
      <c r="D210" s="82"/>
      <c r="E210" s="98" t="s">
        <v>723</v>
      </c>
      <c r="F210" s="220">
        <f>F211</f>
        <v>2848.4</v>
      </c>
      <c r="G210" s="220">
        <f>G211</f>
        <v>0</v>
      </c>
      <c r="H210" s="220">
        <f>H211</f>
        <v>0</v>
      </c>
    </row>
    <row r="211" spans="1:12" ht="38.25" x14ac:dyDescent="0.2">
      <c r="A211" s="16" t="s">
        <v>94</v>
      </c>
      <c r="B211" s="16" t="s">
        <v>99</v>
      </c>
      <c r="C211" s="74">
        <v>910123430</v>
      </c>
      <c r="D211" s="82" t="s">
        <v>211</v>
      </c>
      <c r="E211" s="98" t="s">
        <v>212</v>
      </c>
      <c r="F211" s="220">
        <f>667.9+2800-667.9+48.4</f>
        <v>2848.4</v>
      </c>
      <c r="G211" s="220">
        <v>0</v>
      </c>
      <c r="H211" s="220">
        <v>0</v>
      </c>
    </row>
    <row r="212" spans="1:12" ht="88.5" customHeight="1" x14ac:dyDescent="0.2">
      <c r="A212" s="73" t="s">
        <v>94</v>
      </c>
      <c r="B212" s="73" t="s">
        <v>99</v>
      </c>
      <c r="C212" s="73" t="s">
        <v>227</v>
      </c>
      <c r="D212" s="16"/>
      <c r="E212" s="64" t="s">
        <v>588</v>
      </c>
      <c r="F212" s="117">
        <f>F213</f>
        <v>5057.5</v>
      </c>
      <c r="G212" s="117">
        <f>G213</f>
        <v>6884.9</v>
      </c>
      <c r="H212" s="117">
        <f>H213</f>
        <v>4697.2</v>
      </c>
    </row>
    <row r="213" spans="1:12" ht="51" x14ac:dyDescent="0.2">
      <c r="A213" s="21" t="s">
        <v>94</v>
      </c>
      <c r="B213" s="21" t="s">
        <v>99</v>
      </c>
      <c r="C213" s="52" t="s">
        <v>228</v>
      </c>
      <c r="D213" s="16"/>
      <c r="E213" s="48" t="s">
        <v>229</v>
      </c>
      <c r="F213" s="226">
        <f>F214+F216+F218+F220+F222+F224</f>
        <v>5057.5</v>
      </c>
      <c r="G213" s="226">
        <f t="shared" ref="G213:H213" si="31">G214+G216+G218+G220+G222+G224</f>
        <v>6884.9</v>
      </c>
      <c r="H213" s="226">
        <f t="shared" si="31"/>
        <v>4697.2</v>
      </c>
    </row>
    <row r="214" spans="1:12" ht="38.25" x14ac:dyDescent="0.2">
      <c r="A214" s="21" t="s">
        <v>94</v>
      </c>
      <c r="B214" s="21" t="s">
        <v>99</v>
      </c>
      <c r="C214" s="21" t="s">
        <v>530</v>
      </c>
      <c r="D214" s="82"/>
      <c r="E214" s="98" t="s">
        <v>339</v>
      </c>
      <c r="F214" s="113">
        <f>F215</f>
        <v>0</v>
      </c>
      <c r="G214" s="113">
        <f>G215</f>
        <v>2381.1999999999998</v>
      </c>
      <c r="H214" s="113">
        <f>H215</f>
        <v>0</v>
      </c>
    </row>
    <row r="215" spans="1:12" ht="38.25" x14ac:dyDescent="0.2">
      <c r="A215" s="21" t="s">
        <v>94</v>
      </c>
      <c r="B215" s="21" t="s">
        <v>99</v>
      </c>
      <c r="C215" s="21" t="s">
        <v>530</v>
      </c>
      <c r="D215" s="82" t="s">
        <v>211</v>
      </c>
      <c r="E215" s="98" t="s">
        <v>212</v>
      </c>
      <c r="F215" s="113">
        <v>0</v>
      </c>
      <c r="G215" s="113">
        <v>2381.1999999999998</v>
      </c>
      <c r="H215" s="113">
        <v>0</v>
      </c>
    </row>
    <row r="216" spans="1:12" ht="25.5" x14ac:dyDescent="0.2">
      <c r="A216" s="21" t="s">
        <v>94</v>
      </c>
      <c r="B216" s="21" t="s">
        <v>99</v>
      </c>
      <c r="C216" s="21" t="s">
        <v>688</v>
      </c>
      <c r="D216" s="82"/>
      <c r="E216" s="98" t="s">
        <v>689</v>
      </c>
      <c r="F216" s="113">
        <f>F217</f>
        <v>0</v>
      </c>
      <c r="G216" s="113">
        <f t="shared" ref="G216:H216" si="32">G217</f>
        <v>0</v>
      </c>
      <c r="H216" s="113">
        <f t="shared" si="32"/>
        <v>429.4</v>
      </c>
    </row>
    <row r="217" spans="1:12" ht="38.25" x14ac:dyDescent="0.2">
      <c r="A217" s="21" t="s">
        <v>94</v>
      </c>
      <c r="B217" s="21" t="s">
        <v>99</v>
      </c>
      <c r="C217" s="21" t="s">
        <v>688</v>
      </c>
      <c r="D217" s="82" t="s">
        <v>211</v>
      </c>
      <c r="E217" s="98" t="s">
        <v>212</v>
      </c>
      <c r="F217" s="113">
        <v>0</v>
      </c>
      <c r="G217" s="113">
        <v>0</v>
      </c>
      <c r="H217" s="113">
        <v>429.4</v>
      </c>
    </row>
    <row r="218" spans="1:12" ht="25.5" x14ac:dyDescent="0.2">
      <c r="A218" s="21" t="s">
        <v>94</v>
      </c>
      <c r="B218" s="21" t="s">
        <v>99</v>
      </c>
      <c r="C218" s="21" t="s">
        <v>531</v>
      </c>
      <c r="D218" s="16"/>
      <c r="E218" s="98" t="s">
        <v>329</v>
      </c>
      <c r="F218" s="113">
        <f>F219</f>
        <v>511.6</v>
      </c>
      <c r="G218" s="113">
        <f>G219</f>
        <v>400</v>
      </c>
      <c r="H218" s="113">
        <f>H219</f>
        <v>0</v>
      </c>
    </row>
    <row r="219" spans="1:12" ht="38.25" x14ac:dyDescent="0.2">
      <c r="A219" s="21" t="s">
        <v>94</v>
      </c>
      <c r="B219" s="21" t="s">
        <v>99</v>
      </c>
      <c r="C219" s="21" t="s">
        <v>531</v>
      </c>
      <c r="D219" s="82" t="s">
        <v>211</v>
      </c>
      <c r="E219" s="98" t="s">
        <v>212</v>
      </c>
      <c r="F219" s="113">
        <f>400+111.6</f>
        <v>511.6</v>
      </c>
      <c r="G219" s="113">
        <v>400</v>
      </c>
      <c r="H219" s="113">
        <v>0</v>
      </c>
    </row>
    <row r="220" spans="1:12" x14ac:dyDescent="0.2">
      <c r="A220" s="21" t="s">
        <v>94</v>
      </c>
      <c r="B220" s="21" t="s">
        <v>99</v>
      </c>
      <c r="C220" s="21" t="s">
        <v>630</v>
      </c>
      <c r="D220" s="82"/>
      <c r="E220" s="98" t="s">
        <v>598</v>
      </c>
      <c r="F220" s="113">
        <f>F221</f>
        <v>600</v>
      </c>
      <c r="G220" s="113">
        <f t="shared" ref="G220:H220" si="33">G221</f>
        <v>0</v>
      </c>
      <c r="H220" s="113">
        <f t="shared" si="33"/>
        <v>0</v>
      </c>
    </row>
    <row r="221" spans="1:12" ht="38.25" x14ac:dyDescent="0.2">
      <c r="A221" s="21" t="s">
        <v>94</v>
      </c>
      <c r="B221" s="21" t="s">
        <v>99</v>
      </c>
      <c r="C221" s="21" t="s">
        <v>630</v>
      </c>
      <c r="D221" s="82" t="s">
        <v>211</v>
      </c>
      <c r="E221" s="98" t="s">
        <v>212</v>
      </c>
      <c r="F221" s="113">
        <v>600</v>
      </c>
      <c r="G221" s="113">
        <v>0</v>
      </c>
      <c r="H221" s="113">
        <v>0</v>
      </c>
    </row>
    <row r="222" spans="1:12" ht="40.5" customHeight="1" x14ac:dyDescent="0.2">
      <c r="A222" s="21" t="s">
        <v>94</v>
      </c>
      <c r="B222" s="21" t="s">
        <v>99</v>
      </c>
      <c r="C222" s="51" t="s">
        <v>353</v>
      </c>
      <c r="D222" s="82"/>
      <c r="E222" s="98" t="s">
        <v>350</v>
      </c>
      <c r="F222" s="113">
        <f>F223</f>
        <v>394.6</v>
      </c>
      <c r="G222" s="113">
        <f>G223</f>
        <v>410.4</v>
      </c>
      <c r="H222" s="113">
        <f>H223</f>
        <v>426.8</v>
      </c>
      <c r="J222" s="103"/>
      <c r="K222" s="103"/>
      <c r="L222" s="103"/>
    </row>
    <row r="223" spans="1:12" ht="38.25" x14ac:dyDescent="0.2">
      <c r="A223" s="21" t="s">
        <v>94</v>
      </c>
      <c r="B223" s="21" t="s">
        <v>99</v>
      </c>
      <c r="C223" s="51" t="s">
        <v>353</v>
      </c>
      <c r="D223" s="82" t="s">
        <v>211</v>
      </c>
      <c r="E223" s="98" t="s">
        <v>212</v>
      </c>
      <c r="F223" s="220">
        <v>394.6</v>
      </c>
      <c r="G223" s="220">
        <v>410.4</v>
      </c>
      <c r="H223" s="220">
        <v>426.8</v>
      </c>
    </row>
    <row r="224" spans="1:12" ht="51.75" customHeight="1" x14ac:dyDescent="0.2">
      <c r="A224" s="21" t="s">
        <v>94</v>
      </c>
      <c r="B224" s="21" t="s">
        <v>99</v>
      </c>
      <c r="C224" s="51" t="s">
        <v>354</v>
      </c>
      <c r="D224" s="82"/>
      <c r="E224" s="98" t="s">
        <v>348</v>
      </c>
      <c r="F224" s="113">
        <f>F225</f>
        <v>3551.3</v>
      </c>
      <c r="G224" s="113">
        <f>G225</f>
        <v>3693.3</v>
      </c>
      <c r="H224" s="113">
        <f>H225</f>
        <v>3841</v>
      </c>
    </row>
    <row r="225" spans="1:8" ht="38.25" x14ac:dyDescent="0.2">
      <c r="A225" s="21" t="s">
        <v>94</v>
      </c>
      <c r="B225" s="21" t="s">
        <v>99</v>
      </c>
      <c r="C225" s="51" t="s">
        <v>354</v>
      </c>
      <c r="D225" s="82" t="s">
        <v>211</v>
      </c>
      <c r="E225" s="98" t="s">
        <v>212</v>
      </c>
      <c r="F225" s="113">
        <v>3551.3</v>
      </c>
      <c r="G225" s="113">
        <v>3693.3</v>
      </c>
      <c r="H225" s="113">
        <v>3841</v>
      </c>
    </row>
    <row r="226" spans="1:8" ht="25.5" x14ac:dyDescent="0.2">
      <c r="A226" s="21" t="s">
        <v>94</v>
      </c>
      <c r="B226" s="21" t="s">
        <v>122</v>
      </c>
      <c r="C226" s="30"/>
      <c r="D226" s="30"/>
      <c r="E226" s="46" t="s">
        <v>4</v>
      </c>
      <c r="F226" s="219">
        <f>F227+F233+F251</f>
        <v>1692</v>
      </c>
      <c r="G226" s="219">
        <f>G227+G233+G251</f>
        <v>1406.2</v>
      </c>
      <c r="H226" s="219">
        <f>H227+H233+H251</f>
        <v>1406.2</v>
      </c>
    </row>
    <row r="227" spans="1:8" ht="89.25" x14ac:dyDescent="0.2">
      <c r="A227" s="5" t="s">
        <v>94</v>
      </c>
      <c r="B227" s="5" t="s">
        <v>122</v>
      </c>
      <c r="C227" s="73" t="s">
        <v>69</v>
      </c>
      <c r="D227" s="16"/>
      <c r="E227" s="142" t="s">
        <v>576</v>
      </c>
      <c r="F227" s="117">
        <f>F228</f>
        <v>186</v>
      </c>
      <c r="G227" s="117">
        <f>G228</f>
        <v>176.2</v>
      </c>
      <c r="H227" s="117">
        <f>H228</f>
        <v>176.2</v>
      </c>
    </row>
    <row r="228" spans="1:8" ht="38.25" x14ac:dyDescent="0.2">
      <c r="A228" s="16" t="s">
        <v>94</v>
      </c>
      <c r="B228" s="16" t="s">
        <v>122</v>
      </c>
      <c r="C228" s="52" t="s">
        <v>163</v>
      </c>
      <c r="D228" s="16"/>
      <c r="E228" s="48" t="s">
        <v>162</v>
      </c>
      <c r="F228" s="113">
        <f>F229+F231</f>
        <v>186</v>
      </c>
      <c r="G228" s="113">
        <f t="shared" ref="G228:H228" si="34">G229+G231</f>
        <v>176.2</v>
      </c>
      <c r="H228" s="113">
        <f t="shared" si="34"/>
        <v>176.2</v>
      </c>
    </row>
    <row r="229" spans="1:8" ht="51" x14ac:dyDescent="0.2">
      <c r="A229" s="16" t="s">
        <v>94</v>
      </c>
      <c r="B229" s="16" t="s">
        <v>122</v>
      </c>
      <c r="C229" s="21" t="s">
        <v>460</v>
      </c>
      <c r="D229" s="30"/>
      <c r="E229" s="97" t="s">
        <v>164</v>
      </c>
      <c r="F229" s="113">
        <f>F230</f>
        <v>150</v>
      </c>
      <c r="G229" s="113">
        <f>G230</f>
        <v>140.19999999999999</v>
      </c>
      <c r="H229" s="113">
        <f>H230</f>
        <v>140.19999999999999</v>
      </c>
    </row>
    <row r="230" spans="1:8" ht="38.25" x14ac:dyDescent="0.2">
      <c r="A230" s="16" t="s">
        <v>94</v>
      </c>
      <c r="B230" s="16" t="s">
        <v>122</v>
      </c>
      <c r="C230" s="21" t="s">
        <v>460</v>
      </c>
      <c r="D230" s="82" t="s">
        <v>211</v>
      </c>
      <c r="E230" s="98" t="s">
        <v>212</v>
      </c>
      <c r="F230" s="220">
        <v>150</v>
      </c>
      <c r="G230" s="220">
        <v>140.19999999999999</v>
      </c>
      <c r="H230" s="220">
        <v>140.19999999999999</v>
      </c>
    </row>
    <row r="231" spans="1:8" ht="38.25" x14ac:dyDescent="0.2">
      <c r="A231" s="16" t="s">
        <v>94</v>
      </c>
      <c r="B231" s="16" t="s">
        <v>122</v>
      </c>
      <c r="C231" s="82" t="s">
        <v>461</v>
      </c>
      <c r="D231" s="30"/>
      <c r="E231" s="97" t="s">
        <v>167</v>
      </c>
      <c r="F231" s="113">
        <f>F232</f>
        <v>36</v>
      </c>
      <c r="G231" s="113">
        <f>G232</f>
        <v>36</v>
      </c>
      <c r="H231" s="113">
        <f>H232</f>
        <v>36</v>
      </c>
    </row>
    <row r="232" spans="1:8" ht="38.25" x14ac:dyDescent="0.2">
      <c r="A232" s="16" t="s">
        <v>94</v>
      </c>
      <c r="B232" s="16" t="s">
        <v>122</v>
      </c>
      <c r="C232" s="82" t="s">
        <v>461</v>
      </c>
      <c r="D232" s="82" t="s">
        <v>211</v>
      </c>
      <c r="E232" s="98" t="s">
        <v>212</v>
      </c>
      <c r="F232" s="113">
        <v>36</v>
      </c>
      <c r="G232" s="113">
        <v>36</v>
      </c>
      <c r="H232" s="113">
        <v>36</v>
      </c>
    </row>
    <row r="233" spans="1:8" ht="89.25" x14ac:dyDescent="0.2">
      <c r="A233" s="5" t="s">
        <v>94</v>
      </c>
      <c r="B233" s="5" t="s">
        <v>122</v>
      </c>
      <c r="C233" s="76">
        <v>400000000</v>
      </c>
      <c r="D233" s="16"/>
      <c r="E233" s="141" t="s">
        <v>575</v>
      </c>
      <c r="F233" s="117">
        <f>F234</f>
        <v>1266</v>
      </c>
      <c r="G233" s="117">
        <f>G234</f>
        <v>930</v>
      </c>
      <c r="H233" s="117">
        <f>H234</f>
        <v>930</v>
      </c>
    </row>
    <row r="234" spans="1:8" ht="50.25" customHeight="1" x14ac:dyDescent="0.2">
      <c r="A234" s="47" t="s">
        <v>94</v>
      </c>
      <c r="B234" s="47" t="s">
        <v>122</v>
      </c>
      <c r="C234" s="75">
        <v>410000000</v>
      </c>
      <c r="D234" s="30"/>
      <c r="E234" s="46" t="s">
        <v>462</v>
      </c>
      <c r="F234" s="119">
        <f>F235+F237+F239+F241+F243+F245+F247+F249</f>
        <v>1266</v>
      </c>
      <c r="G234" s="119">
        <f t="shared" ref="G234:H234" si="35">G235+G237+G239+G241+G243+G245+G247+G249</f>
        <v>930</v>
      </c>
      <c r="H234" s="119">
        <f t="shared" si="35"/>
        <v>930</v>
      </c>
    </row>
    <row r="235" spans="1:8" ht="76.5" x14ac:dyDescent="0.2">
      <c r="A235" s="16" t="s">
        <v>94</v>
      </c>
      <c r="B235" s="16" t="s">
        <v>122</v>
      </c>
      <c r="C235" s="135" t="s">
        <v>624</v>
      </c>
      <c r="D235" s="82"/>
      <c r="E235" s="98" t="s">
        <v>592</v>
      </c>
      <c r="F235" s="220">
        <f t="shared" ref="F235:H235" si="36">F236</f>
        <v>50</v>
      </c>
      <c r="G235" s="220">
        <f t="shared" si="36"/>
        <v>50</v>
      </c>
      <c r="H235" s="220">
        <f t="shared" si="36"/>
        <v>50</v>
      </c>
    </row>
    <row r="236" spans="1:8" ht="38.25" x14ac:dyDescent="0.2">
      <c r="A236" s="16" t="s">
        <v>94</v>
      </c>
      <c r="B236" s="16" t="s">
        <v>122</v>
      </c>
      <c r="C236" s="135" t="s">
        <v>624</v>
      </c>
      <c r="D236" s="82" t="s">
        <v>211</v>
      </c>
      <c r="E236" s="98" t="s">
        <v>212</v>
      </c>
      <c r="F236" s="220">
        <v>50</v>
      </c>
      <c r="G236" s="220">
        <v>50</v>
      </c>
      <c r="H236" s="220">
        <v>50</v>
      </c>
    </row>
    <row r="237" spans="1:8" ht="25.5" x14ac:dyDescent="0.2">
      <c r="A237" s="16" t="s">
        <v>94</v>
      </c>
      <c r="B237" s="16" t="s">
        <v>122</v>
      </c>
      <c r="C237" s="135" t="s">
        <v>623</v>
      </c>
      <c r="D237" s="82"/>
      <c r="E237" s="98" t="s">
        <v>465</v>
      </c>
      <c r="F237" s="220">
        <f>F238</f>
        <v>30</v>
      </c>
      <c r="G237" s="220">
        <f>G238</f>
        <v>30</v>
      </c>
      <c r="H237" s="220">
        <f>H238</f>
        <v>30</v>
      </c>
    </row>
    <row r="238" spans="1:8" ht="38.25" x14ac:dyDescent="0.2">
      <c r="A238" s="16" t="s">
        <v>94</v>
      </c>
      <c r="B238" s="16" t="s">
        <v>122</v>
      </c>
      <c r="C238" s="135" t="s">
        <v>623</v>
      </c>
      <c r="D238" s="82" t="s">
        <v>211</v>
      </c>
      <c r="E238" s="98" t="s">
        <v>212</v>
      </c>
      <c r="F238" s="220">
        <v>30</v>
      </c>
      <c r="G238" s="220">
        <v>30</v>
      </c>
      <c r="H238" s="220">
        <v>30</v>
      </c>
    </row>
    <row r="239" spans="1:8" ht="40.5" customHeight="1" x14ac:dyDescent="0.2">
      <c r="A239" s="16" t="s">
        <v>94</v>
      </c>
      <c r="B239" s="16" t="s">
        <v>122</v>
      </c>
      <c r="C239" s="135" t="s">
        <v>622</v>
      </c>
      <c r="D239" s="82"/>
      <c r="E239" s="98" t="s">
        <v>593</v>
      </c>
      <c r="F239" s="220">
        <f>F240</f>
        <v>50</v>
      </c>
      <c r="G239" s="220">
        <f t="shared" ref="G239:H239" si="37">G240</f>
        <v>50</v>
      </c>
      <c r="H239" s="220">
        <f t="shared" si="37"/>
        <v>50</v>
      </c>
    </row>
    <row r="240" spans="1:8" ht="38.25" x14ac:dyDescent="0.2">
      <c r="A240" s="16" t="s">
        <v>94</v>
      </c>
      <c r="B240" s="16" t="s">
        <v>122</v>
      </c>
      <c r="C240" s="135" t="s">
        <v>622</v>
      </c>
      <c r="D240" s="82" t="s">
        <v>211</v>
      </c>
      <c r="E240" s="98" t="s">
        <v>212</v>
      </c>
      <c r="F240" s="220">
        <v>50</v>
      </c>
      <c r="G240" s="220">
        <v>50</v>
      </c>
      <c r="H240" s="220">
        <v>50</v>
      </c>
    </row>
    <row r="241" spans="1:8" ht="63.75" x14ac:dyDescent="0.2">
      <c r="A241" s="16" t="s">
        <v>94</v>
      </c>
      <c r="B241" s="16" t="s">
        <v>122</v>
      </c>
      <c r="C241" s="135" t="s">
        <v>625</v>
      </c>
      <c r="D241" s="82"/>
      <c r="E241" s="98" t="s">
        <v>594</v>
      </c>
      <c r="F241" s="220">
        <f>F242</f>
        <v>200</v>
      </c>
      <c r="G241" s="220">
        <f t="shared" ref="G241:H241" si="38">G242</f>
        <v>200</v>
      </c>
      <c r="H241" s="220">
        <f t="shared" si="38"/>
        <v>200</v>
      </c>
    </row>
    <row r="242" spans="1:8" ht="63.75" x14ac:dyDescent="0.2">
      <c r="A242" s="16" t="s">
        <v>94</v>
      </c>
      <c r="B242" s="16" t="s">
        <v>122</v>
      </c>
      <c r="C242" s="135" t="s">
        <v>625</v>
      </c>
      <c r="D242" s="16" t="s">
        <v>12</v>
      </c>
      <c r="E242" s="98" t="s">
        <v>365</v>
      </c>
      <c r="F242" s="220">
        <v>200</v>
      </c>
      <c r="G242" s="220">
        <v>200</v>
      </c>
      <c r="H242" s="220">
        <v>200</v>
      </c>
    </row>
    <row r="243" spans="1:8" ht="63.75" x14ac:dyDescent="0.2">
      <c r="A243" s="16" t="s">
        <v>94</v>
      </c>
      <c r="B243" s="16" t="s">
        <v>122</v>
      </c>
      <c r="C243" s="135" t="s">
        <v>626</v>
      </c>
      <c r="D243" s="82"/>
      <c r="E243" s="98" t="s">
        <v>470</v>
      </c>
      <c r="F243" s="220">
        <f>F244</f>
        <v>0</v>
      </c>
      <c r="G243" s="220">
        <f t="shared" ref="G243:H243" si="39">G244</f>
        <v>500</v>
      </c>
      <c r="H243" s="220">
        <f t="shared" si="39"/>
        <v>500</v>
      </c>
    </row>
    <row r="244" spans="1:8" ht="63.75" x14ac:dyDescent="0.2">
      <c r="A244" s="16" t="s">
        <v>94</v>
      </c>
      <c r="B244" s="16" t="s">
        <v>122</v>
      </c>
      <c r="C244" s="135" t="s">
        <v>626</v>
      </c>
      <c r="D244" s="16" t="s">
        <v>12</v>
      </c>
      <c r="E244" s="98" t="s">
        <v>365</v>
      </c>
      <c r="F244" s="220">
        <f>500-500</f>
        <v>0</v>
      </c>
      <c r="G244" s="220">
        <v>500</v>
      </c>
      <c r="H244" s="220">
        <v>500</v>
      </c>
    </row>
    <row r="245" spans="1:8" ht="105.75" customHeight="1" x14ac:dyDescent="0.2">
      <c r="A245" s="16" t="s">
        <v>94</v>
      </c>
      <c r="B245" s="16" t="s">
        <v>122</v>
      </c>
      <c r="C245" s="135" t="s">
        <v>627</v>
      </c>
      <c r="D245" s="82"/>
      <c r="E245" s="98" t="s">
        <v>471</v>
      </c>
      <c r="F245" s="220">
        <f>F246</f>
        <v>80</v>
      </c>
      <c r="G245" s="220">
        <f t="shared" ref="G245:H245" si="40">G246</f>
        <v>100</v>
      </c>
      <c r="H245" s="220">
        <f t="shared" si="40"/>
        <v>100</v>
      </c>
    </row>
    <row r="246" spans="1:8" ht="63.75" x14ac:dyDescent="0.2">
      <c r="A246" s="16" t="s">
        <v>94</v>
      </c>
      <c r="B246" s="16" t="s">
        <v>122</v>
      </c>
      <c r="C246" s="135" t="s">
        <v>627</v>
      </c>
      <c r="D246" s="16" t="s">
        <v>12</v>
      </c>
      <c r="E246" s="98" t="s">
        <v>365</v>
      </c>
      <c r="F246" s="220">
        <v>80</v>
      </c>
      <c r="G246" s="220">
        <v>100</v>
      </c>
      <c r="H246" s="220">
        <v>100</v>
      </c>
    </row>
    <row r="247" spans="1:8" ht="102" x14ac:dyDescent="0.2">
      <c r="A247" s="16" t="s">
        <v>94</v>
      </c>
      <c r="B247" s="16" t="s">
        <v>122</v>
      </c>
      <c r="C247" s="135" t="s">
        <v>628</v>
      </c>
      <c r="D247" s="16"/>
      <c r="E247" s="98" t="s">
        <v>595</v>
      </c>
      <c r="F247" s="220">
        <f>F248</f>
        <v>356</v>
      </c>
      <c r="G247" s="220">
        <f t="shared" ref="G247:H247" si="41">G248</f>
        <v>0</v>
      </c>
      <c r="H247" s="220">
        <f t="shared" si="41"/>
        <v>0</v>
      </c>
    </row>
    <row r="248" spans="1:8" ht="63.75" x14ac:dyDescent="0.2">
      <c r="A248" s="16" t="s">
        <v>94</v>
      </c>
      <c r="B248" s="16" t="s">
        <v>122</v>
      </c>
      <c r="C248" s="135" t="s">
        <v>628</v>
      </c>
      <c r="D248" s="16" t="s">
        <v>12</v>
      </c>
      <c r="E248" s="98" t="s">
        <v>365</v>
      </c>
      <c r="F248" s="220">
        <v>356</v>
      </c>
      <c r="G248" s="220">
        <v>0</v>
      </c>
      <c r="H248" s="220">
        <v>0</v>
      </c>
    </row>
    <row r="249" spans="1:8" ht="115.5" customHeight="1" x14ac:dyDescent="0.2">
      <c r="A249" s="16" t="s">
        <v>94</v>
      </c>
      <c r="B249" s="16" t="s">
        <v>122</v>
      </c>
      <c r="C249" s="135" t="s">
        <v>666</v>
      </c>
      <c r="D249" s="16"/>
      <c r="E249" s="98" t="s">
        <v>667</v>
      </c>
      <c r="F249" s="220">
        <f>F250</f>
        <v>500</v>
      </c>
      <c r="G249" s="220">
        <f t="shared" ref="G249:H249" si="42">G250</f>
        <v>0</v>
      </c>
      <c r="H249" s="220">
        <f t="shared" si="42"/>
        <v>0</v>
      </c>
    </row>
    <row r="250" spans="1:8" ht="63.75" x14ac:dyDescent="0.2">
      <c r="A250" s="16" t="s">
        <v>94</v>
      </c>
      <c r="B250" s="16" t="s">
        <v>122</v>
      </c>
      <c r="C250" s="135" t="s">
        <v>666</v>
      </c>
      <c r="D250" s="16" t="s">
        <v>12</v>
      </c>
      <c r="E250" s="98" t="s">
        <v>365</v>
      </c>
      <c r="F250" s="220">
        <f>1000-500</f>
        <v>500</v>
      </c>
      <c r="G250" s="220">
        <v>0</v>
      </c>
      <c r="H250" s="220">
        <v>0</v>
      </c>
    </row>
    <row r="251" spans="1:8" ht="76.5" x14ac:dyDescent="0.2">
      <c r="A251" s="5" t="s">
        <v>94</v>
      </c>
      <c r="B251" s="5" t="s">
        <v>122</v>
      </c>
      <c r="C251" s="73" t="s">
        <v>146</v>
      </c>
      <c r="D251" s="16"/>
      <c r="E251" s="63" t="s">
        <v>580</v>
      </c>
      <c r="F251" s="117">
        <f>F252</f>
        <v>240</v>
      </c>
      <c r="G251" s="117">
        <f>G252</f>
        <v>300</v>
      </c>
      <c r="H251" s="117">
        <f>H252</f>
        <v>300</v>
      </c>
    </row>
    <row r="252" spans="1:8" ht="63.75" x14ac:dyDescent="0.2">
      <c r="A252" s="47" t="s">
        <v>94</v>
      </c>
      <c r="B252" s="47" t="s">
        <v>122</v>
      </c>
      <c r="C252" s="52" t="s">
        <v>147</v>
      </c>
      <c r="D252" s="16"/>
      <c r="E252" s="48" t="s">
        <v>545</v>
      </c>
      <c r="F252" s="119">
        <f>F253+F255+F257</f>
        <v>240</v>
      </c>
      <c r="G252" s="119">
        <f t="shared" ref="G252:H252" si="43">G253+G255+G257</f>
        <v>300</v>
      </c>
      <c r="H252" s="119">
        <f t="shared" si="43"/>
        <v>300</v>
      </c>
    </row>
    <row r="253" spans="1:8" ht="51" x14ac:dyDescent="0.2">
      <c r="A253" s="16" t="s">
        <v>94</v>
      </c>
      <c r="B253" s="16" t="s">
        <v>122</v>
      </c>
      <c r="C253" s="137" t="s">
        <v>507</v>
      </c>
      <c r="D253" s="16"/>
      <c r="E253" s="99" t="s">
        <v>544</v>
      </c>
      <c r="F253" s="220">
        <f>F254</f>
        <v>0</v>
      </c>
      <c r="G253" s="220">
        <f>G254</f>
        <v>300</v>
      </c>
      <c r="H253" s="220">
        <f>H254</f>
        <v>300</v>
      </c>
    </row>
    <row r="254" spans="1:8" ht="38.25" x14ac:dyDescent="0.2">
      <c r="A254" s="16" t="s">
        <v>94</v>
      </c>
      <c r="B254" s="16" t="s">
        <v>122</v>
      </c>
      <c r="C254" s="137" t="s">
        <v>507</v>
      </c>
      <c r="D254" s="82" t="s">
        <v>211</v>
      </c>
      <c r="E254" s="98" t="s">
        <v>212</v>
      </c>
      <c r="F254" s="220">
        <v>0</v>
      </c>
      <c r="G254" s="220">
        <v>300</v>
      </c>
      <c r="H254" s="220">
        <v>300</v>
      </c>
    </row>
    <row r="255" spans="1:8" ht="89.25" x14ac:dyDescent="0.2">
      <c r="A255" s="16" t="s">
        <v>94</v>
      </c>
      <c r="B255" s="16" t="s">
        <v>122</v>
      </c>
      <c r="C255" s="74">
        <v>810123102</v>
      </c>
      <c r="D255" s="16"/>
      <c r="E255" s="99" t="s">
        <v>508</v>
      </c>
      <c r="F255" s="220">
        <f>F256</f>
        <v>120</v>
      </c>
      <c r="G255" s="220">
        <f>G256</f>
        <v>0</v>
      </c>
      <c r="H255" s="220">
        <f>H256</f>
        <v>0</v>
      </c>
    </row>
    <row r="256" spans="1:8" ht="38.25" x14ac:dyDescent="0.2">
      <c r="A256" s="16" t="s">
        <v>94</v>
      </c>
      <c r="B256" s="16" t="s">
        <v>122</v>
      </c>
      <c r="C256" s="74">
        <v>810123102</v>
      </c>
      <c r="D256" s="82" t="s">
        <v>211</v>
      </c>
      <c r="E256" s="98" t="s">
        <v>212</v>
      </c>
      <c r="F256" s="220">
        <f>100+20</f>
        <v>120</v>
      </c>
      <c r="G256" s="220">
        <v>0</v>
      </c>
      <c r="H256" s="220">
        <v>0</v>
      </c>
    </row>
    <row r="257" spans="1:8" ht="89.25" x14ac:dyDescent="0.2">
      <c r="A257" s="16" t="s">
        <v>94</v>
      </c>
      <c r="B257" s="16" t="s">
        <v>122</v>
      </c>
      <c r="C257" s="74">
        <v>810123103</v>
      </c>
      <c r="D257" s="82"/>
      <c r="E257" s="98" t="s">
        <v>663</v>
      </c>
      <c r="F257" s="220">
        <f>F258</f>
        <v>120</v>
      </c>
      <c r="G257" s="220">
        <f t="shared" ref="G257:H257" si="44">G258</f>
        <v>0</v>
      </c>
      <c r="H257" s="220">
        <f t="shared" si="44"/>
        <v>0</v>
      </c>
    </row>
    <row r="258" spans="1:8" ht="38.25" x14ac:dyDescent="0.2">
      <c r="A258" s="16" t="s">
        <v>94</v>
      </c>
      <c r="B258" s="16" t="s">
        <v>122</v>
      </c>
      <c r="C258" s="74">
        <v>810123103</v>
      </c>
      <c r="D258" s="82" t="s">
        <v>211</v>
      </c>
      <c r="E258" s="98" t="s">
        <v>212</v>
      </c>
      <c r="F258" s="220">
        <f>100+20</f>
        <v>120</v>
      </c>
      <c r="G258" s="220">
        <v>0</v>
      </c>
      <c r="H258" s="220">
        <v>0</v>
      </c>
    </row>
    <row r="259" spans="1:8" ht="30" x14ac:dyDescent="0.25">
      <c r="A259" s="4" t="s">
        <v>95</v>
      </c>
      <c r="B259" s="3"/>
      <c r="C259" s="3"/>
      <c r="D259" s="3"/>
      <c r="E259" s="49" t="s">
        <v>47</v>
      </c>
      <c r="F259" s="218">
        <f>F260+F290+F331+F399</f>
        <v>312027.20000000007</v>
      </c>
      <c r="G259" s="218">
        <f>G260+G290+G331+G399</f>
        <v>52075.799999999996</v>
      </c>
      <c r="H259" s="218">
        <f>H260+H290+H331+H399</f>
        <v>47947</v>
      </c>
    </row>
    <row r="260" spans="1:8" ht="14.25" x14ac:dyDescent="0.2">
      <c r="A260" s="30" t="s">
        <v>95</v>
      </c>
      <c r="B260" s="30" t="s">
        <v>88</v>
      </c>
      <c r="C260" s="30"/>
      <c r="D260" s="30"/>
      <c r="E260" s="27" t="s">
        <v>42</v>
      </c>
      <c r="F260" s="219">
        <f>F261+F286</f>
        <v>4557.9000000000005</v>
      </c>
      <c r="G260" s="219">
        <f>G261</f>
        <v>5761.3</v>
      </c>
      <c r="H260" s="219">
        <f>H261</f>
        <v>2611.3000000000002</v>
      </c>
    </row>
    <row r="261" spans="1:8" ht="76.5" x14ac:dyDescent="0.2">
      <c r="A261" s="5" t="s">
        <v>95</v>
      </c>
      <c r="B261" s="5" t="s">
        <v>88</v>
      </c>
      <c r="C261" s="73" t="s">
        <v>154</v>
      </c>
      <c r="D261" s="16"/>
      <c r="E261" s="141" t="s">
        <v>574</v>
      </c>
      <c r="F261" s="117">
        <f>F262+F268+F281</f>
        <v>4539.3</v>
      </c>
      <c r="G261" s="117">
        <f>G262+G268+G281</f>
        <v>5761.3</v>
      </c>
      <c r="H261" s="117">
        <f>H262+H268+H281</f>
        <v>2611.3000000000002</v>
      </c>
    </row>
    <row r="262" spans="1:8" ht="40.5" customHeight="1" x14ac:dyDescent="0.2">
      <c r="A262" s="47" t="s">
        <v>95</v>
      </c>
      <c r="B262" s="47" t="s">
        <v>88</v>
      </c>
      <c r="C262" s="52" t="s">
        <v>150</v>
      </c>
      <c r="D262" s="16"/>
      <c r="E262" s="48" t="s">
        <v>297</v>
      </c>
      <c r="F262" s="119">
        <f>F263+F266</f>
        <v>1347.3</v>
      </c>
      <c r="G262" s="119">
        <f>G263+G266</f>
        <v>950</v>
      </c>
      <c r="H262" s="119">
        <f>H263+H266</f>
        <v>950</v>
      </c>
    </row>
    <row r="263" spans="1:8" ht="51" x14ac:dyDescent="0.25">
      <c r="A263" s="16" t="s">
        <v>95</v>
      </c>
      <c r="B263" s="16" t="s">
        <v>88</v>
      </c>
      <c r="C263" s="136" t="s">
        <v>480</v>
      </c>
      <c r="D263" s="3"/>
      <c r="E263" s="98" t="s">
        <v>263</v>
      </c>
      <c r="F263" s="113">
        <f>SUM(F264:F265)</f>
        <v>1123.8</v>
      </c>
      <c r="G263" s="113">
        <f t="shared" ref="G263:H263" si="45">SUM(G264:G265)</f>
        <v>150</v>
      </c>
      <c r="H263" s="113">
        <f t="shared" si="45"/>
        <v>150</v>
      </c>
    </row>
    <row r="264" spans="1:8" ht="38.25" x14ac:dyDescent="0.2">
      <c r="A264" s="16" t="s">
        <v>95</v>
      </c>
      <c r="B264" s="16" t="s">
        <v>88</v>
      </c>
      <c r="C264" s="136" t="s">
        <v>480</v>
      </c>
      <c r="D264" s="82" t="s">
        <v>211</v>
      </c>
      <c r="E264" s="98" t="s">
        <v>212</v>
      </c>
      <c r="F264" s="113">
        <f>1378.5-59.3-0.2-195.4</f>
        <v>1123.5999999999999</v>
      </c>
      <c r="G264" s="113">
        <v>150</v>
      </c>
      <c r="H264" s="113">
        <v>150</v>
      </c>
    </row>
    <row r="265" spans="1:8" x14ac:dyDescent="0.2">
      <c r="A265" s="16" t="s">
        <v>95</v>
      </c>
      <c r="B265" s="16" t="s">
        <v>88</v>
      </c>
      <c r="C265" s="136" t="s">
        <v>480</v>
      </c>
      <c r="D265" s="82" t="s">
        <v>748</v>
      </c>
      <c r="E265" s="173" t="s">
        <v>749</v>
      </c>
      <c r="F265" s="113">
        <v>0.2</v>
      </c>
      <c r="G265" s="113">
        <v>0</v>
      </c>
      <c r="H265" s="113">
        <v>0</v>
      </c>
    </row>
    <row r="266" spans="1:8" ht="25.5" x14ac:dyDescent="0.25">
      <c r="A266" s="16" t="s">
        <v>95</v>
      </c>
      <c r="B266" s="16" t="s">
        <v>88</v>
      </c>
      <c r="C266" s="21" t="s">
        <v>481</v>
      </c>
      <c r="D266" s="3"/>
      <c r="E266" s="98" t="s">
        <v>335</v>
      </c>
      <c r="F266" s="113">
        <f>F267</f>
        <v>223.5</v>
      </c>
      <c r="G266" s="113">
        <f>G267</f>
        <v>800</v>
      </c>
      <c r="H266" s="113">
        <f>H267</f>
        <v>800</v>
      </c>
    </row>
    <row r="267" spans="1:8" ht="38.25" x14ac:dyDescent="0.2">
      <c r="A267" s="16" t="s">
        <v>95</v>
      </c>
      <c r="B267" s="16" t="s">
        <v>88</v>
      </c>
      <c r="C267" s="21" t="s">
        <v>481</v>
      </c>
      <c r="D267" s="82" t="s">
        <v>211</v>
      </c>
      <c r="E267" s="98" t="s">
        <v>212</v>
      </c>
      <c r="F267" s="220">
        <f>123.5+100</f>
        <v>223.5</v>
      </c>
      <c r="G267" s="220">
        <v>800</v>
      </c>
      <c r="H267" s="220">
        <v>800</v>
      </c>
    </row>
    <row r="268" spans="1:8" ht="38.25" x14ac:dyDescent="0.2">
      <c r="A268" s="47" t="s">
        <v>95</v>
      </c>
      <c r="B268" s="47" t="s">
        <v>88</v>
      </c>
      <c r="C268" s="52" t="s">
        <v>151</v>
      </c>
      <c r="D268" s="16"/>
      <c r="E268" s="48" t="s">
        <v>148</v>
      </c>
      <c r="F268" s="119">
        <f>F269+F271+F273+F275+F277+F279</f>
        <v>1207</v>
      </c>
      <c r="G268" s="119">
        <f t="shared" ref="G268:H268" si="46">G269+G271+G273+G275+G277+G279</f>
        <v>1510</v>
      </c>
      <c r="H268" s="119">
        <f t="shared" si="46"/>
        <v>200</v>
      </c>
    </row>
    <row r="269" spans="1:8" ht="131.25" customHeight="1" x14ac:dyDescent="0.25">
      <c r="A269" s="16" t="s">
        <v>95</v>
      </c>
      <c r="B269" s="16" t="s">
        <v>88</v>
      </c>
      <c r="C269" s="79">
        <v>520123261</v>
      </c>
      <c r="D269" s="3"/>
      <c r="E269" s="98" t="s">
        <v>268</v>
      </c>
      <c r="F269" s="113">
        <f>F270</f>
        <v>0</v>
      </c>
      <c r="G269" s="113">
        <f>G270</f>
        <v>100</v>
      </c>
      <c r="H269" s="113">
        <f>H270</f>
        <v>0</v>
      </c>
    </row>
    <row r="270" spans="1:8" ht="38.25" x14ac:dyDescent="0.2">
      <c r="A270" s="16" t="s">
        <v>95</v>
      </c>
      <c r="B270" s="16" t="s">
        <v>88</v>
      </c>
      <c r="C270" s="79">
        <v>520123261</v>
      </c>
      <c r="D270" s="82" t="s">
        <v>211</v>
      </c>
      <c r="E270" s="98" t="s">
        <v>212</v>
      </c>
      <c r="F270" s="113">
        <v>0</v>
      </c>
      <c r="G270" s="113">
        <v>100</v>
      </c>
      <c r="H270" s="113">
        <v>0</v>
      </c>
    </row>
    <row r="271" spans="1:8" ht="51" x14ac:dyDescent="0.2">
      <c r="A271" s="16" t="s">
        <v>95</v>
      </c>
      <c r="B271" s="16" t="s">
        <v>88</v>
      </c>
      <c r="C271" s="79">
        <v>520123262</v>
      </c>
      <c r="D271" s="16"/>
      <c r="E271" s="98" t="s">
        <v>299</v>
      </c>
      <c r="F271" s="113">
        <f>F272</f>
        <v>0</v>
      </c>
      <c r="G271" s="113">
        <f>G272</f>
        <v>20</v>
      </c>
      <c r="H271" s="113">
        <f>H272</f>
        <v>20</v>
      </c>
    </row>
    <row r="272" spans="1:8" ht="38.25" x14ac:dyDescent="0.2">
      <c r="A272" s="16" t="s">
        <v>95</v>
      </c>
      <c r="B272" s="16" t="s">
        <v>88</v>
      </c>
      <c r="C272" s="79">
        <v>520123262</v>
      </c>
      <c r="D272" s="82" t="s">
        <v>211</v>
      </c>
      <c r="E272" s="98" t="s">
        <v>212</v>
      </c>
      <c r="F272" s="113">
        <v>0</v>
      </c>
      <c r="G272" s="113">
        <v>20</v>
      </c>
      <c r="H272" s="113">
        <v>20</v>
      </c>
    </row>
    <row r="273" spans="1:8" ht="25.5" x14ac:dyDescent="0.2">
      <c r="A273" s="16" t="s">
        <v>95</v>
      </c>
      <c r="B273" s="16" t="s">
        <v>88</v>
      </c>
      <c r="C273" s="136" t="s">
        <v>482</v>
      </c>
      <c r="D273" s="82"/>
      <c r="E273" s="98" t="s">
        <v>483</v>
      </c>
      <c r="F273" s="113">
        <f>F274</f>
        <v>101.7</v>
      </c>
      <c r="G273" s="113">
        <f>G274</f>
        <v>170</v>
      </c>
      <c r="H273" s="113">
        <f>H274</f>
        <v>180</v>
      </c>
    </row>
    <row r="274" spans="1:8" ht="38.25" x14ac:dyDescent="0.2">
      <c r="A274" s="16" t="s">
        <v>95</v>
      </c>
      <c r="B274" s="16" t="s">
        <v>88</v>
      </c>
      <c r="C274" s="136" t="s">
        <v>482</v>
      </c>
      <c r="D274" s="82" t="s">
        <v>211</v>
      </c>
      <c r="E274" s="98" t="s">
        <v>212</v>
      </c>
      <c r="F274" s="113">
        <f>160-58.3</f>
        <v>101.7</v>
      </c>
      <c r="G274" s="113">
        <v>170</v>
      </c>
      <c r="H274" s="113">
        <v>180</v>
      </c>
    </row>
    <row r="275" spans="1:8" ht="54" customHeight="1" x14ac:dyDescent="0.2">
      <c r="A275" s="16" t="s">
        <v>95</v>
      </c>
      <c r="B275" s="16" t="s">
        <v>88</v>
      </c>
      <c r="C275" s="79">
        <v>520223264</v>
      </c>
      <c r="D275" s="82"/>
      <c r="E275" s="98" t="s">
        <v>760</v>
      </c>
      <c r="F275" s="113">
        <f>F276</f>
        <v>905.3</v>
      </c>
      <c r="G275" s="113">
        <f t="shared" ref="G275:H275" si="47">G276</f>
        <v>0</v>
      </c>
      <c r="H275" s="113">
        <f t="shared" si="47"/>
        <v>0</v>
      </c>
    </row>
    <row r="276" spans="1:8" ht="25.5" x14ac:dyDescent="0.2">
      <c r="A276" s="16" t="s">
        <v>95</v>
      </c>
      <c r="B276" s="16" t="s">
        <v>88</v>
      </c>
      <c r="C276" s="79">
        <v>520223264</v>
      </c>
      <c r="D276" s="82" t="s">
        <v>131</v>
      </c>
      <c r="E276" s="98" t="s">
        <v>132</v>
      </c>
      <c r="F276" s="113">
        <v>905.3</v>
      </c>
      <c r="G276" s="113">
        <v>0</v>
      </c>
      <c r="H276" s="113">
        <v>0</v>
      </c>
    </row>
    <row r="277" spans="1:8" ht="63.75" x14ac:dyDescent="0.2">
      <c r="A277" s="16" t="s">
        <v>95</v>
      </c>
      <c r="B277" s="16" t="s">
        <v>88</v>
      </c>
      <c r="C277" s="79">
        <v>520223265</v>
      </c>
      <c r="D277" s="82"/>
      <c r="E277" s="98" t="s">
        <v>485</v>
      </c>
      <c r="F277" s="113">
        <f>F278</f>
        <v>0</v>
      </c>
      <c r="G277" s="113">
        <f>G278</f>
        <v>1220</v>
      </c>
      <c r="H277" s="113">
        <f>H278</f>
        <v>0</v>
      </c>
    </row>
    <row r="278" spans="1:8" x14ac:dyDescent="0.2">
      <c r="A278" s="16" t="s">
        <v>95</v>
      </c>
      <c r="B278" s="16" t="s">
        <v>88</v>
      </c>
      <c r="C278" s="79">
        <v>520223265</v>
      </c>
      <c r="D278" s="82" t="s">
        <v>248</v>
      </c>
      <c r="E278" s="99" t="s">
        <v>271</v>
      </c>
      <c r="F278" s="113">
        <f>2890-2890</f>
        <v>0</v>
      </c>
      <c r="G278" s="113">
        <v>1220</v>
      </c>
      <c r="H278" s="113">
        <v>0</v>
      </c>
    </row>
    <row r="279" spans="1:8" ht="38.25" x14ac:dyDescent="0.2">
      <c r="A279" s="16" t="s">
        <v>95</v>
      </c>
      <c r="B279" s="16" t="s">
        <v>88</v>
      </c>
      <c r="C279" s="21" t="s">
        <v>486</v>
      </c>
      <c r="D279" s="82"/>
      <c r="E279" s="99" t="s">
        <v>272</v>
      </c>
      <c r="F279" s="113">
        <f>F280</f>
        <v>200</v>
      </c>
      <c r="G279" s="113">
        <f>G280</f>
        <v>0</v>
      </c>
      <c r="H279" s="113">
        <f>H280</f>
        <v>0</v>
      </c>
    </row>
    <row r="280" spans="1:8" ht="38.25" x14ac:dyDescent="0.2">
      <c r="A280" s="16" t="s">
        <v>95</v>
      </c>
      <c r="B280" s="16" t="s">
        <v>88</v>
      </c>
      <c r="C280" s="21" t="s">
        <v>486</v>
      </c>
      <c r="D280" s="82" t="s">
        <v>211</v>
      </c>
      <c r="E280" s="98" t="s">
        <v>212</v>
      </c>
      <c r="F280" s="113">
        <v>200</v>
      </c>
      <c r="G280" s="220">
        <v>0</v>
      </c>
      <c r="H280" s="220">
        <v>0</v>
      </c>
    </row>
    <row r="281" spans="1:8" ht="63.75" x14ac:dyDescent="0.2">
      <c r="A281" s="47" t="s">
        <v>95</v>
      </c>
      <c r="B281" s="47" t="s">
        <v>88</v>
      </c>
      <c r="C281" s="52" t="s">
        <v>152</v>
      </c>
      <c r="D281" s="16"/>
      <c r="E281" s="48" t="s">
        <v>149</v>
      </c>
      <c r="F281" s="119">
        <f>F282+F284</f>
        <v>1985</v>
      </c>
      <c r="G281" s="119">
        <f>G282+G284</f>
        <v>3301.3</v>
      </c>
      <c r="H281" s="119">
        <f>H282+H284</f>
        <v>1461.3</v>
      </c>
    </row>
    <row r="282" spans="1:8" ht="66.75" customHeight="1" x14ac:dyDescent="0.2">
      <c r="A282" s="82" t="s">
        <v>95</v>
      </c>
      <c r="B282" s="82" t="s">
        <v>88</v>
      </c>
      <c r="C282" s="79">
        <v>530123271</v>
      </c>
      <c r="D282" s="16"/>
      <c r="E282" s="98" t="s">
        <v>153</v>
      </c>
      <c r="F282" s="113">
        <f>F283</f>
        <v>1985</v>
      </c>
      <c r="G282" s="113">
        <f>G283</f>
        <v>1461.3</v>
      </c>
      <c r="H282" s="113">
        <f>H283</f>
        <v>1461.3</v>
      </c>
    </row>
    <row r="283" spans="1:8" ht="38.25" x14ac:dyDescent="0.2">
      <c r="A283" s="16" t="s">
        <v>95</v>
      </c>
      <c r="B283" s="16" t="s">
        <v>88</v>
      </c>
      <c r="C283" s="79">
        <v>530123271</v>
      </c>
      <c r="D283" s="82" t="s">
        <v>211</v>
      </c>
      <c r="E283" s="98" t="s">
        <v>212</v>
      </c>
      <c r="F283" s="220">
        <f>961.3+456.1+59.3+253.7+104.6+150</f>
        <v>1985</v>
      </c>
      <c r="G283" s="220">
        <v>1461.3</v>
      </c>
      <c r="H283" s="220">
        <v>1461.3</v>
      </c>
    </row>
    <row r="284" spans="1:8" ht="55.5" customHeight="1" x14ac:dyDescent="0.2">
      <c r="A284" s="16" t="s">
        <v>95</v>
      </c>
      <c r="B284" s="16" t="s">
        <v>88</v>
      </c>
      <c r="C284" s="79">
        <v>530223272</v>
      </c>
      <c r="D284" s="16"/>
      <c r="E284" s="98" t="s">
        <v>488</v>
      </c>
      <c r="F284" s="113">
        <f t="shared" ref="F284:H284" si="48">F285</f>
        <v>0</v>
      </c>
      <c r="G284" s="113">
        <f t="shared" si="48"/>
        <v>1840</v>
      </c>
      <c r="H284" s="113">
        <f t="shared" si="48"/>
        <v>0</v>
      </c>
    </row>
    <row r="285" spans="1:8" ht="38.25" x14ac:dyDescent="0.2">
      <c r="A285" s="16" t="s">
        <v>95</v>
      </c>
      <c r="B285" s="16" t="s">
        <v>88</v>
      </c>
      <c r="C285" s="79">
        <v>530223272</v>
      </c>
      <c r="D285" s="82" t="s">
        <v>211</v>
      </c>
      <c r="E285" s="98" t="s">
        <v>212</v>
      </c>
      <c r="F285" s="113">
        <v>0</v>
      </c>
      <c r="G285" s="113">
        <v>1840</v>
      </c>
      <c r="H285" s="113">
        <v>0</v>
      </c>
    </row>
    <row r="286" spans="1:8" s="179" customFormat="1" ht="25.5" x14ac:dyDescent="0.2">
      <c r="A286" s="82" t="s">
        <v>95</v>
      </c>
      <c r="B286" s="82" t="s">
        <v>88</v>
      </c>
      <c r="C286" s="79">
        <v>9900000000</v>
      </c>
      <c r="D286" s="16"/>
      <c r="E286" s="55" t="s">
        <v>144</v>
      </c>
      <c r="F286" s="224">
        <f t="shared" ref="F286:H288" si="49">F287</f>
        <v>18.600000000000001</v>
      </c>
      <c r="G286" s="224">
        <f t="shared" si="49"/>
        <v>0</v>
      </c>
      <c r="H286" s="224">
        <f t="shared" si="49"/>
        <v>0</v>
      </c>
    </row>
    <row r="287" spans="1:8" s="179" customFormat="1" ht="14.25" x14ac:dyDescent="0.2">
      <c r="A287" s="16" t="s">
        <v>95</v>
      </c>
      <c r="B287" s="16" t="s">
        <v>88</v>
      </c>
      <c r="C287" s="79">
        <v>9920000000</v>
      </c>
      <c r="D287" s="35"/>
      <c r="E287" s="126" t="s">
        <v>5</v>
      </c>
      <c r="F287" s="224">
        <f t="shared" si="49"/>
        <v>18.600000000000001</v>
      </c>
      <c r="G287" s="224">
        <f t="shared" si="49"/>
        <v>0</v>
      </c>
      <c r="H287" s="224">
        <f t="shared" si="49"/>
        <v>0</v>
      </c>
    </row>
    <row r="288" spans="1:8" s="179" customFormat="1" ht="25.5" x14ac:dyDescent="0.2">
      <c r="A288" s="16" t="s">
        <v>95</v>
      </c>
      <c r="B288" s="16" t="s">
        <v>88</v>
      </c>
      <c r="C288" s="79">
        <v>9920026100</v>
      </c>
      <c r="D288" s="21"/>
      <c r="E288" s="178" t="s">
        <v>11</v>
      </c>
      <c r="F288" s="220">
        <f t="shared" si="49"/>
        <v>18.600000000000001</v>
      </c>
      <c r="G288" s="220">
        <f t="shared" si="49"/>
        <v>0</v>
      </c>
      <c r="H288" s="220">
        <f t="shared" si="49"/>
        <v>0</v>
      </c>
    </row>
    <row r="289" spans="1:8" s="179" customFormat="1" ht="38.25" x14ac:dyDescent="0.2">
      <c r="A289" s="16" t="s">
        <v>95</v>
      </c>
      <c r="B289" s="16" t="s">
        <v>88</v>
      </c>
      <c r="C289" s="79">
        <v>9920026100</v>
      </c>
      <c r="D289" s="82" t="s">
        <v>211</v>
      </c>
      <c r="E289" s="98" t="s">
        <v>212</v>
      </c>
      <c r="F289" s="220">
        <v>18.600000000000001</v>
      </c>
      <c r="G289" s="220">
        <v>0</v>
      </c>
      <c r="H289" s="220">
        <v>0</v>
      </c>
    </row>
    <row r="290" spans="1:8" ht="14.25" x14ac:dyDescent="0.2">
      <c r="A290" s="30" t="s">
        <v>95</v>
      </c>
      <c r="B290" s="30" t="s">
        <v>89</v>
      </c>
      <c r="C290" s="30"/>
      <c r="D290" s="30"/>
      <c r="E290" s="27" t="s">
        <v>41</v>
      </c>
      <c r="F290" s="219">
        <f>F291+F305+F328</f>
        <v>48777.399999999994</v>
      </c>
      <c r="G290" s="219">
        <f>G291+G305+G328</f>
        <v>13487.8</v>
      </c>
      <c r="H290" s="219">
        <f>H291+H305+H328</f>
        <v>12484</v>
      </c>
    </row>
    <row r="291" spans="1:8" ht="63.75" x14ac:dyDescent="0.2">
      <c r="A291" s="5" t="s">
        <v>95</v>
      </c>
      <c r="B291" s="5" t="s">
        <v>89</v>
      </c>
      <c r="C291" s="76">
        <v>400000000</v>
      </c>
      <c r="D291" s="5"/>
      <c r="E291" s="64" t="s">
        <v>375</v>
      </c>
      <c r="F291" s="117">
        <f t="shared" ref="F291:H291" si="50">F292</f>
        <v>13597</v>
      </c>
      <c r="G291" s="117">
        <f t="shared" si="50"/>
        <v>5125</v>
      </c>
      <c r="H291" s="117">
        <f t="shared" si="50"/>
        <v>4158.8</v>
      </c>
    </row>
    <row r="292" spans="1:8" ht="93.75" customHeight="1" x14ac:dyDescent="0.2">
      <c r="A292" s="16" t="s">
        <v>95</v>
      </c>
      <c r="B292" s="16" t="s">
        <v>89</v>
      </c>
      <c r="C292" s="75">
        <v>430000000</v>
      </c>
      <c r="D292" s="16"/>
      <c r="E292" s="46" t="s">
        <v>642</v>
      </c>
      <c r="F292" s="119">
        <f>F293+F295+F297+F299+F301+F303</f>
        <v>13597</v>
      </c>
      <c r="G292" s="119">
        <f t="shared" ref="G292:H292" si="51">G293+G295+G297+G299+G301+G303</f>
        <v>5125</v>
      </c>
      <c r="H292" s="119">
        <f t="shared" si="51"/>
        <v>4158.8</v>
      </c>
    </row>
    <row r="293" spans="1:8" ht="114.75" x14ac:dyDescent="0.2">
      <c r="A293" s="16" t="s">
        <v>95</v>
      </c>
      <c r="B293" s="16" t="s">
        <v>89</v>
      </c>
      <c r="C293" s="74">
        <v>430227340</v>
      </c>
      <c r="D293" s="16"/>
      <c r="E293" s="98" t="s">
        <v>605</v>
      </c>
      <c r="F293" s="220">
        <f>F294</f>
        <v>779.2</v>
      </c>
      <c r="G293" s="220">
        <f t="shared" ref="G293:H293" si="52">G294</f>
        <v>1364</v>
      </c>
      <c r="H293" s="220">
        <f t="shared" si="52"/>
        <v>1364</v>
      </c>
    </row>
    <row r="294" spans="1:8" ht="63.75" x14ac:dyDescent="0.2">
      <c r="A294" s="16" t="s">
        <v>95</v>
      </c>
      <c r="B294" s="16" t="s">
        <v>89</v>
      </c>
      <c r="C294" s="74">
        <v>430227340</v>
      </c>
      <c r="D294" s="16" t="s">
        <v>12</v>
      </c>
      <c r="E294" s="98" t="s">
        <v>318</v>
      </c>
      <c r="F294" s="220">
        <f>1364-584.8</f>
        <v>779.2</v>
      </c>
      <c r="G294" s="220">
        <v>1364</v>
      </c>
      <c r="H294" s="220">
        <v>1364</v>
      </c>
    </row>
    <row r="295" spans="1:8" ht="124.5" customHeight="1" x14ac:dyDescent="0.2">
      <c r="A295" s="16" t="s">
        <v>95</v>
      </c>
      <c r="B295" s="16" t="s">
        <v>89</v>
      </c>
      <c r="C295" s="74">
        <v>430227350</v>
      </c>
      <c r="D295" s="16"/>
      <c r="E295" s="98" t="s">
        <v>596</v>
      </c>
      <c r="F295" s="220">
        <f>F296</f>
        <v>25.5</v>
      </c>
      <c r="G295" s="220">
        <f t="shared" ref="G295:H295" si="53">G296</f>
        <v>25.5</v>
      </c>
      <c r="H295" s="220">
        <f t="shared" si="53"/>
        <v>25.5</v>
      </c>
    </row>
    <row r="296" spans="1:8" ht="63.75" x14ac:dyDescent="0.2">
      <c r="A296" s="16" t="s">
        <v>95</v>
      </c>
      <c r="B296" s="16" t="s">
        <v>89</v>
      </c>
      <c r="C296" s="74">
        <v>430227350</v>
      </c>
      <c r="D296" s="16" t="s">
        <v>12</v>
      </c>
      <c r="E296" s="98" t="s">
        <v>318</v>
      </c>
      <c r="F296" s="220">
        <v>25.5</v>
      </c>
      <c r="G296" s="220">
        <v>25.5</v>
      </c>
      <c r="H296" s="220">
        <v>25.5</v>
      </c>
    </row>
    <row r="297" spans="1:8" ht="126.75" customHeight="1" x14ac:dyDescent="0.2">
      <c r="A297" s="16" t="s">
        <v>95</v>
      </c>
      <c r="B297" s="16" t="s">
        <v>89</v>
      </c>
      <c r="C297" s="74">
        <v>430227360</v>
      </c>
      <c r="D297" s="16"/>
      <c r="E297" s="98" t="s">
        <v>597</v>
      </c>
      <c r="F297" s="220">
        <f>F298</f>
        <v>5593.6</v>
      </c>
      <c r="G297" s="220">
        <f t="shared" ref="G297:H297" si="54">G298</f>
        <v>1661.6</v>
      </c>
      <c r="H297" s="220">
        <f t="shared" si="54"/>
        <v>1661.6</v>
      </c>
    </row>
    <row r="298" spans="1:8" ht="63.75" x14ac:dyDescent="0.2">
      <c r="A298" s="16" t="s">
        <v>95</v>
      </c>
      <c r="B298" s="16" t="s">
        <v>89</v>
      </c>
      <c r="C298" s="74">
        <v>430227360</v>
      </c>
      <c r="D298" s="16" t="s">
        <v>12</v>
      </c>
      <c r="E298" s="98" t="s">
        <v>318</v>
      </c>
      <c r="F298" s="220">
        <f>5293.6+300</f>
        <v>5593.6</v>
      </c>
      <c r="G298" s="220">
        <v>1661.6</v>
      </c>
      <c r="H298" s="220">
        <v>1661.6</v>
      </c>
    </row>
    <row r="299" spans="1:8" ht="178.5" customHeight="1" x14ac:dyDescent="0.2">
      <c r="A299" s="16" t="s">
        <v>95</v>
      </c>
      <c r="B299" s="16" t="s">
        <v>89</v>
      </c>
      <c r="C299" s="74">
        <v>430227370</v>
      </c>
      <c r="D299" s="16"/>
      <c r="E299" s="98" t="s">
        <v>606</v>
      </c>
      <c r="F299" s="220">
        <f>F300</f>
        <v>1300</v>
      </c>
      <c r="G299" s="220">
        <f t="shared" ref="G299:H299" si="55">G300</f>
        <v>1107.7</v>
      </c>
      <c r="H299" s="220">
        <f t="shared" si="55"/>
        <v>1107.7</v>
      </c>
    </row>
    <row r="300" spans="1:8" ht="63.75" x14ac:dyDescent="0.2">
      <c r="A300" s="16" t="s">
        <v>95</v>
      </c>
      <c r="B300" s="16" t="s">
        <v>89</v>
      </c>
      <c r="C300" s="74">
        <v>430227370</v>
      </c>
      <c r="D300" s="16" t="s">
        <v>12</v>
      </c>
      <c r="E300" s="98" t="s">
        <v>318</v>
      </c>
      <c r="F300" s="220">
        <f>1000+300</f>
        <v>1300</v>
      </c>
      <c r="G300" s="220">
        <v>1107.7</v>
      </c>
      <c r="H300" s="220">
        <v>1107.7</v>
      </c>
    </row>
    <row r="301" spans="1:8" ht="127.5" x14ac:dyDescent="0.2">
      <c r="A301" s="16" t="s">
        <v>95</v>
      </c>
      <c r="B301" s="16" t="s">
        <v>89</v>
      </c>
      <c r="C301" s="74">
        <v>430227390</v>
      </c>
      <c r="D301" s="16"/>
      <c r="E301" s="98" t="s">
        <v>641</v>
      </c>
      <c r="F301" s="220">
        <f>F302</f>
        <v>2898.7</v>
      </c>
      <c r="G301" s="220">
        <f t="shared" ref="G301:H301" si="56">G302</f>
        <v>966.2</v>
      </c>
      <c r="H301" s="220">
        <f t="shared" si="56"/>
        <v>0</v>
      </c>
    </row>
    <row r="302" spans="1:8" ht="63.75" x14ac:dyDescent="0.2">
      <c r="A302" s="16" t="s">
        <v>95</v>
      </c>
      <c r="B302" s="16" t="s">
        <v>89</v>
      </c>
      <c r="C302" s="74">
        <v>430227390</v>
      </c>
      <c r="D302" s="16" t="s">
        <v>12</v>
      </c>
      <c r="E302" s="98" t="s">
        <v>318</v>
      </c>
      <c r="F302" s="220">
        <v>2898.7</v>
      </c>
      <c r="G302" s="220">
        <v>966.2</v>
      </c>
      <c r="H302" s="220">
        <v>0</v>
      </c>
    </row>
    <row r="303" spans="1:8" ht="127.5" x14ac:dyDescent="0.2">
      <c r="A303" s="16" t="s">
        <v>95</v>
      </c>
      <c r="B303" s="16" t="s">
        <v>89</v>
      </c>
      <c r="C303" s="74">
        <v>430227400</v>
      </c>
      <c r="D303" s="16"/>
      <c r="E303" s="98" t="s">
        <v>715</v>
      </c>
      <c r="F303" s="220">
        <f>F304</f>
        <v>3000</v>
      </c>
      <c r="G303" s="220">
        <f t="shared" ref="G303:H303" si="57">G304</f>
        <v>0</v>
      </c>
      <c r="H303" s="220">
        <f t="shared" si="57"/>
        <v>0</v>
      </c>
    </row>
    <row r="304" spans="1:8" ht="63.75" x14ac:dyDescent="0.2">
      <c r="A304" s="16" t="s">
        <v>95</v>
      </c>
      <c r="B304" s="16" t="s">
        <v>89</v>
      </c>
      <c r="C304" s="74">
        <v>430227400</v>
      </c>
      <c r="D304" s="16" t="s">
        <v>12</v>
      </c>
      <c r="E304" s="98" t="s">
        <v>318</v>
      </c>
      <c r="F304" s="220">
        <f>2000+1000</f>
        <v>3000</v>
      </c>
      <c r="G304" s="220">
        <v>0</v>
      </c>
      <c r="H304" s="220">
        <v>0</v>
      </c>
    </row>
    <row r="305" spans="1:8" ht="102" x14ac:dyDescent="0.2">
      <c r="A305" s="5" t="s">
        <v>95</v>
      </c>
      <c r="B305" s="5" t="s">
        <v>89</v>
      </c>
      <c r="C305" s="81" t="s">
        <v>32</v>
      </c>
      <c r="D305" s="16"/>
      <c r="E305" s="53" t="s">
        <v>577</v>
      </c>
      <c r="F305" s="117">
        <f>F306+F313+F323</f>
        <v>35060.399999999994</v>
      </c>
      <c r="G305" s="117">
        <f>G306+G313+G323</f>
        <v>8362.7999999999993</v>
      </c>
      <c r="H305" s="117">
        <f>H306+H313+H323</f>
        <v>8325.2000000000007</v>
      </c>
    </row>
    <row r="306" spans="1:8" ht="38.25" x14ac:dyDescent="0.2">
      <c r="A306" s="16" t="s">
        <v>95</v>
      </c>
      <c r="B306" s="16" t="s">
        <v>89</v>
      </c>
      <c r="C306" s="52" t="s">
        <v>33</v>
      </c>
      <c r="D306" s="16"/>
      <c r="E306" s="48" t="s">
        <v>549</v>
      </c>
      <c r="F306" s="119">
        <f>F307+F309+F311</f>
        <v>690.9</v>
      </c>
      <c r="G306" s="119">
        <f t="shared" ref="G306:H306" si="58">G307+G309+G311</f>
        <v>685</v>
      </c>
      <c r="H306" s="119">
        <f t="shared" si="58"/>
        <v>530</v>
      </c>
    </row>
    <row r="307" spans="1:8" ht="25.5" x14ac:dyDescent="0.25">
      <c r="A307" s="16" t="s">
        <v>95</v>
      </c>
      <c r="B307" s="16" t="s">
        <v>89</v>
      </c>
      <c r="C307" s="21" t="s">
        <v>492</v>
      </c>
      <c r="D307" s="3"/>
      <c r="E307" s="98" t="s">
        <v>188</v>
      </c>
      <c r="F307" s="113">
        <f t="shared" ref="F307:H307" si="59">F308</f>
        <v>521.9</v>
      </c>
      <c r="G307" s="113">
        <f t="shared" si="59"/>
        <v>510</v>
      </c>
      <c r="H307" s="113">
        <f t="shared" si="59"/>
        <v>510</v>
      </c>
    </row>
    <row r="308" spans="1:8" ht="38.25" x14ac:dyDescent="0.2">
      <c r="A308" s="16" t="s">
        <v>95</v>
      </c>
      <c r="B308" s="16" t="s">
        <v>89</v>
      </c>
      <c r="C308" s="21" t="s">
        <v>492</v>
      </c>
      <c r="D308" s="82" t="s">
        <v>211</v>
      </c>
      <c r="E308" s="98" t="s">
        <v>212</v>
      </c>
      <c r="F308" s="113">
        <f>510+11.9</f>
        <v>521.9</v>
      </c>
      <c r="G308" s="113">
        <v>510</v>
      </c>
      <c r="H308" s="113">
        <v>510</v>
      </c>
    </row>
    <row r="309" spans="1:8" ht="25.5" x14ac:dyDescent="0.2">
      <c r="A309" s="16" t="s">
        <v>95</v>
      </c>
      <c r="B309" s="16" t="s">
        <v>89</v>
      </c>
      <c r="C309" s="21" t="s">
        <v>493</v>
      </c>
      <c r="D309" s="16"/>
      <c r="E309" s="98" t="s">
        <v>333</v>
      </c>
      <c r="F309" s="113">
        <f t="shared" ref="F309:H309" si="60">F310</f>
        <v>14</v>
      </c>
      <c r="G309" s="113">
        <f t="shared" si="60"/>
        <v>20</v>
      </c>
      <c r="H309" s="113">
        <f t="shared" si="60"/>
        <v>20</v>
      </c>
    </row>
    <row r="310" spans="1:8" ht="38.25" x14ac:dyDescent="0.2">
      <c r="A310" s="16" t="s">
        <v>95</v>
      </c>
      <c r="B310" s="16" t="s">
        <v>89</v>
      </c>
      <c r="C310" s="21" t="s">
        <v>493</v>
      </c>
      <c r="D310" s="82" t="s">
        <v>211</v>
      </c>
      <c r="E310" s="98" t="s">
        <v>212</v>
      </c>
      <c r="F310" s="113">
        <f>10+4</f>
        <v>14</v>
      </c>
      <c r="G310" s="113">
        <v>20</v>
      </c>
      <c r="H310" s="113">
        <v>20</v>
      </c>
    </row>
    <row r="311" spans="1:8" ht="38.25" x14ac:dyDescent="0.2">
      <c r="A311" s="16" t="s">
        <v>95</v>
      </c>
      <c r="B311" s="16" t="s">
        <v>89</v>
      </c>
      <c r="C311" s="21" t="s">
        <v>547</v>
      </c>
      <c r="D311" s="82"/>
      <c r="E311" s="98" t="s">
        <v>548</v>
      </c>
      <c r="F311" s="113">
        <f>F312</f>
        <v>155</v>
      </c>
      <c r="G311" s="113">
        <f t="shared" ref="G311:H311" si="61">G312</f>
        <v>155</v>
      </c>
      <c r="H311" s="113">
        <f t="shared" si="61"/>
        <v>0</v>
      </c>
    </row>
    <row r="312" spans="1:8" ht="38.25" x14ac:dyDescent="0.2">
      <c r="A312" s="16" t="s">
        <v>95</v>
      </c>
      <c r="B312" s="16" t="s">
        <v>89</v>
      </c>
      <c r="C312" s="21" t="s">
        <v>547</v>
      </c>
      <c r="D312" s="82" t="s">
        <v>211</v>
      </c>
      <c r="E312" s="98" t="s">
        <v>212</v>
      </c>
      <c r="F312" s="113">
        <v>155</v>
      </c>
      <c r="G312" s="113">
        <v>155</v>
      </c>
      <c r="H312" s="113">
        <v>0</v>
      </c>
    </row>
    <row r="313" spans="1:8" ht="25.5" x14ac:dyDescent="0.2">
      <c r="A313" s="47" t="s">
        <v>95</v>
      </c>
      <c r="B313" s="47" t="s">
        <v>89</v>
      </c>
      <c r="C313" s="52" t="s">
        <v>368</v>
      </c>
      <c r="D313" s="16"/>
      <c r="E313" s="46" t="s">
        <v>341</v>
      </c>
      <c r="F313" s="119">
        <f>F314+F316+F319+F321</f>
        <v>31306.799999999996</v>
      </c>
      <c r="G313" s="119">
        <f t="shared" ref="G313:H313" si="62">G314+G316+G319+G321</f>
        <v>2850</v>
      </c>
      <c r="H313" s="119">
        <f t="shared" si="62"/>
        <v>2850</v>
      </c>
    </row>
    <row r="314" spans="1:8" ht="38.25" x14ac:dyDescent="0.2">
      <c r="A314" s="16" t="s">
        <v>95</v>
      </c>
      <c r="B314" s="16" t="s">
        <v>89</v>
      </c>
      <c r="C314" s="21" t="s">
        <v>496</v>
      </c>
      <c r="D314" s="16"/>
      <c r="E314" s="97" t="s">
        <v>189</v>
      </c>
      <c r="F314" s="113">
        <f>F315</f>
        <v>178</v>
      </c>
      <c r="G314" s="113">
        <f>G315</f>
        <v>200</v>
      </c>
      <c r="H314" s="113">
        <f>H315</f>
        <v>200</v>
      </c>
    </row>
    <row r="315" spans="1:8" ht="38.25" x14ac:dyDescent="0.2">
      <c r="A315" s="16" t="s">
        <v>95</v>
      </c>
      <c r="B315" s="16" t="s">
        <v>89</v>
      </c>
      <c r="C315" s="21" t="s">
        <v>496</v>
      </c>
      <c r="D315" s="82" t="s">
        <v>211</v>
      </c>
      <c r="E315" s="98" t="s">
        <v>212</v>
      </c>
      <c r="F315" s="113">
        <f>200-22</f>
        <v>178</v>
      </c>
      <c r="G315" s="113">
        <v>200</v>
      </c>
      <c r="H315" s="113">
        <v>200</v>
      </c>
    </row>
    <row r="316" spans="1:8" ht="25.5" x14ac:dyDescent="0.2">
      <c r="A316" s="16" t="s">
        <v>95</v>
      </c>
      <c r="B316" s="16" t="s">
        <v>89</v>
      </c>
      <c r="C316" s="21" t="s">
        <v>498</v>
      </c>
      <c r="D316" s="82"/>
      <c r="E316" s="98" t="s">
        <v>497</v>
      </c>
      <c r="F316" s="113">
        <f>SUM(F317:F318)</f>
        <v>1921.5</v>
      </c>
      <c r="G316" s="113">
        <f t="shared" ref="G316:H316" si="63">SUM(G317:G318)</f>
        <v>550</v>
      </c>
      <c r="H316" s="113">
        <f t="shared" si="63"/>
        <v>550</v>
      </c>
    </row>
    <row r="317" spans="1:8" ht="38.25" x14ac:dyDescent="0.2">
      <c r="A317" s="16" t="s">
        <v>95</v>
      </c>
      <c r="B317" s="16" t="s">
        <v>89</v>
      </c>
      <c r="C317" s="21" t="s">
        <v>498</v>
      </c>
      <c r="D317" s="82" t="s">
        <v>211</v>
      </c>
      <c r="E317" s="98" t="s">
        <v>212</v>
      </c>
      <c r="F317" s="113">
        <f>400+621.2+378.8</f>
        <v>1400</v>
      </c>
      <c r="G317" s="113">
        <v>550</v>
      </c>
      <c r="H317" s="113">
        <v>550</v>
      </c>
    </row>
    <row r="318" spans="1:8" x14ac:dyDescent="0.2">
      <c r="A318" s="16" t="s">
        <v>95</v>
      </c>
      <c r="B318" s="16" t="s">
        <v>89</v>
      </c>
      <c r="C318" s="21" t="s">
        <v>498</v>
      </c>
      <c r="D318" s="82" t="s">
        <v>248</v>
      </c>
      <c r="E318" s="99" t="s">
        <v>271</v>
      </c>
      <c r="F318" s="113">
        <v>521.5</v>
      </c>
      <c r="G318" s="113">
        <v>0</v>
      </c>
      <c r="H318" s="113">
        <v>0</v>
      </c>
    </row>
    <row r="319" spans="1:8" ht="51" x14ac:dyDescent="0.2">
      <c r="A319" s="16" t="s">
        <v>95</v>
      </c>
      <c r="B319" s="16" t="s">
        <v>89</v>
      </c>
      <c r="C319" s="21" t="s">
        <v>499</v>
      </c>
      <c r="D319" s="16"/>
      <c r="E319" s="98" t="s">
        <v>579</v>
      </c>
      <c r="F319" s="113">
        <f t="shared" ref="F319:H319" si="64">F320</f>
        <v>0</v>
      </c>
      <c r="G319" s="113">
        <f t="shared" si="64"/>
        <v>2100</v>
      </c>
      <c r="H319" s="113">
        <f t="shared" si="64"/>
        <v>2100</v>
      </c>
    </row>
    <row r="320" spans="1:8" ht="38.25" x14ac:dyDescent="0.2">
      <c r="A320" s="16" t="s">
        <v>95</v>
      </c>
      <c r="B320" s="16" t="s">
        <v>89</v>
      </c>
      <c r="C320" s="21" t="s">
        <v>499</v>
      </c>
      <c r="D320" s="82" t="s">
        <v>211</v>
      </c>
      <c r="E320" s="98" t="s">
        <v>212</v>
      </c>
      <c r="F320" s="113">
        <f>3689.4-3689.4</f>
        <v>0</v>
      </c>
      <c r="G320" s="113">
        <v>2100</v>
      </c>
      <c r="H320" s="113">
        <v>2100</v>
      </c>
    </row>
    <row r="321" spans="1:8" ht="25.5" x14ac:dyDescent="0.2">
      <c r="A321" s="16" t="s">
        <v>95</v>
      </c>
      <c r="B321" s="16" t="s">
        <v>89</v>
      </c>
      <c r="C321" s="21" t="s">
        <v>710</v>
      </c>
      <c r="D321" s="82"/>
      <c r="E321" s="98" t="s">
        <v>711</v>
      </c>
      <c r="F321" s="113">
        <f>F322</f>
        <v>29207.299999999996</v>
      </c>
      <c r="G321" s="113">
        <f t="shared" ref="G321:H321" si="65">G322</f>
        <v>0</v>
      </c>
      <c r="H321" s="113">
        <f t="shared" si="65"/>
        <v>0</v>
      </c>
    </row>
    <row r="322" spans="1:8" x14ac:dyDescent="0.2">
      <c r="A322" s="16" t="s">
        <v>95</v>
      </c>
      <c r="B322" s="16" t="s">
        <v>89</v>
      </c>
      <c r="C322" s="21" t="s">
        <v>710</v>
      </c>
      <c r="D322" s="82" t="s">
        <v>248</v>
      </c>
      <c r="E322" s="99" t="s">
        <v>271</v>
      </c>
      <c r="F322" s="113">
        <f>40000-6756.8-4035.9</f>
        <v>29207.299999999996</v>
      </c>
      <c r="G322" s="113">
        <v>0</v>
      </c>
      <c r="H322" s="113">
        <v>0</v>
      </c>
    </row>
    <row r="323" spans="1:8" ht="38.25" x14ac:dyDescent="0.2">
      <c r="A323" s="16" t="s">
        <v>95</v>
      </c>
      <c r="B323" s="16" t="s">
        <v>89</v>
      </c>
      <c r="C323" s="52" t="s">
        <v>34</v>
      </c>
      <c r="D323" s="16"/>
      <c r="E323" s="46" t="s">
        <v>501</v>
      </c>
      <c r="F323" s="113">
        <f>F324+F326</f>
        <v>3062.7</v>
      </c>
      <c r="G323" s="113">
        <f t="shared" ref="G323:H323" si="66">G324+G326</f>
        <v>4827.8</v>
      </c>
      <c r="H323" s="113">
        <f t="shared" si="66"/>
        <v>4945.2</v>
      </c>
    </row>
    <row r="324" spans="1:8" ht="38.25" x14ac:dyDescent="0.2">
      <c r="A324" s="16" t="s">
        <v>95</v>
      </c>
      <c r="B324" s="16" t="s">
        <v>89</v>
      </c>
      <c r="C324" s="21" t="s">
        <v>503</v>
      </c>
      <c r="D324" s="16"/>
      <c r="E324" s="99" t="s">
        <v>502</v>
      </c>
      <c r="F324" s="113">
        <f>F325</f>
        <v>1763.6999999999998</v>
      </c>
      <c r="G324" s="113">
        <f t="shared" ref="G324:H324" si="67">G325</f>
        <v>1700</v>
      </c>
      <c r="H324" s="113">
        <f t="shared" si="67"/>
        <v>1700</v>
      </c>
    </row>
    <row r="325" spans="1:8" ht="38.25" x14ac:dyDescent="0.2">
      <c r="A325" s="16" t="s">
        <v>95</v>
      </c>
      <c r="B325" s="16" t="s">
        <v>89</v>
      </c>
      <c r="C325" s="21" t="s">
        <v>503</v>
      </c>
      <c r="D325" s="82" t="s">
        <v>211</v>
      </c>
      <c r="E325" s="98" t="s">
        <v>212</v>
      </c>
      <c r="F325" s="113">
        <f>1164+1050+239.1-533.4-156</f>
        <v>1763.6999999999998</v>
      </c>
      <c r="G325" s="113">
        <f>700+1000</f>
        <v>1700</v>
      </c>
      <c r="H325" s="113">
        <f>700+1000</f>
        <v>1700</v>
      </c>
    </row>
    <row r="326" spans="1:8" ht="25.5" x14ac:dyDescent="0.2">
      <c r="A326" s="16" t="s">
        <v>95</v>
      </c>
      <c r="B326" s="16" t="s">
        <v>89</v>
      </c>
      <c r="C326" s="21" t="s">
        <v>504</v>
      </c>
      <c r="D326" s="16"/>
      <c r="E326" s="99" t="s">
        <v>369</v>
      </c>
      <c r="F326" s="113">
        <f>F327</f>
        <v>1299</v>
      </c>
      <c r="G326" s="113">
        <f t="shared" ref="G326:H326" si="68">G327</f>
        <v>3127.8</v>
      </c>
      <c r="H326" s="113">
        <f t="shared" si="68"/>
        <v>3245.2</v>
      </c>
    </row>
    <row r="327" spans="1:8" x14ac:dyDescent="0.2">
      <c r="A327" s="16" t="s">
        <v>95</v>
      </c>
      <c r="B327" s="16" t="s">
        <v>89</v>
      </c>
      <c r="C327" s="21" t="s">
        <v>504</v>
      </c>
      <c r="D327" s="82" t="s">
        <v>248</v>
      </c>
      <c r="E327" s="99" t="s">
        <v>271</v>
      </c>
      <c r="F327" s="113">
        <v>1299</v>
      </c>
      <c r="G327" s="113">
        <v>3127.8</v>
      </c>
      <c r="H327" s="113">
        <v>3245.2</v>
      </c>
    </row>
    <row r="328" spans="1:8" ht="38.25" x14ac:dyDescent="0.2">
      <c r="A328" s="16" t="s">
        <v>95</v>
      </c>
      <c r="B328" s="16" t="s">
        <v>89</v>
      </c>
      <c r="C328" s="82" t="s">
        <v>24</v>
      </c>
      <c r="D328" s="82"/>
      <c r="E328" s="99" t="s">
        <v>38</v>
      </c>
      <c r="F328" s="113">
        <f>F329</f>
        <v>120</v>
      </c>
      <c r="G328" s="113">
        <f t="shared" ref="G328:H328" si="69">G329</f>
        <v>0</v>
      </c>
      <c r="H328" s="113">
        <f t="shared" si="69"/>
        <v>0</v>
      </c>
    </row>
    <row r="329" spans="1:8" ht="51" x14ac:dyDescent="0.2">
      <c r="A329" s="16" t="s">
        <v>95</v>
      </c>
      <c r="B329" s="16" t="s">
        <v>89</v>
      </c>
      <c r="C329" s="82" t="s">
        <v>567</v>
      </c>
      <c r="D329" s="16"/>
      <c r="E329" s="54" t="s">
        <v>566</v>
      </c>
      <c r="F329" s="113">
        <f>SUM(F330:F330)</f>
        <v>120</v>
      </c>
      <c r="G329" s="113">
        <f>SUM(G330:G330)</f>
        <v>0</v>
      </c>
      <c r="H329" s="113">
        <f>SUM(H330:H330)</f>
        <v>0</v>
      </c>
    </row>
    <row r="330" spans="1:8" ht="38.25" x14ac:dyDescent="0.2">
      <c r="A330" s="16" t="s">
        <v>95</v>
      </c>
      <c r="B330" s="16" t="s">
        <v>89</v>
      </c>
      <c r="C330" s="82" t="s">
        <v>567</v>
      </c>
      <c r="D330" s="82" t="s">
        <v>211</v>
      </c>
      <c r="E330" s="98" t="s">
        <v>212</v>
      </c>
      <c r="F330" s="220">
        <v>120</v>
      </c>
      <c r="G330" s="220">
        <v>0</v>
      </c>
      <c r="H330" s="220">
        <v>0</v>
      </c>
    </row>
    <row r="331" spans="1:8" ht="14.25" x14ac:dyDescent="0.2">
      <c r="A331" s="30" t="s">
        <v>95</v>
      </c>
      <c r="B331" s="30" t="s">
        <v>93</v>
      </c>
      <c r="C331" s="30"/>
      <c r="D331" s="30"/>
      <c r="E331" s="27" t="s">
        <v>48</v>
      </c>
      <c r="F331" s="219">
        <f>F332+F338+F378+F388+F395</f>
        <v>257311.00000000003</v>
      </c>
      <c r="G331" s="219">
        <f>G332+G338+G378+G388</f>
        <v>31645.8</v>
      </c>
      <c r="H331" s="219">
        <f>H332+H338+H378+H388</f>
        <v>31670.799999999999</v>
      </c>
    </row>
    <row r="332" spans="1:8" ht="89.25" x14ac:dyDescent="0.2">
      <c r="A332" s="5" t="s">
        <v>95</v>
      </c>
      <c r="B332" s="5" t="s">
        <v>93</v>
      </c>
      <c r="C332" s="78" t="s">
        <v>65</v>
      </c>
      <c r="D332" s="16"/>
      <c r="E332" s="63" t="s">
        <v>573</v>
      </c>
      <c r="F332" s="117">
        <f t="shared" ref="F332:H332" si="70">F333</f>
        <v>529.29999999999995</v>
      </c>
      <c r="G332" s="117">
        <f t="shared" si="70"/>
        <v>529.30000000000007</v>
      </c>
      <c r="H332" s="117">
        <f t="shared" si="70"/>
        <v>529.30000000000007</v>
      </c>
    </row>
    <row r="333" spans="1:8" ht="51" x14ac:dyDescent="0.2">
      <c r="A333" s="47" t="s">
        <v>95</v>
      </c>
      <c r="B333" s="47" t="s">
        <v>93</v>
      </c>
      <c r="C333" s="77" t="s">
        <v>66</v>
      </c>
      <c r="D333" s="16"/>
      <c r="E333" s="60" t="s">
        <v>491</v>
      </c>
      <c r="F333" s="119">
        <f>F334+F336</f>
        <v>529.29999999999995</v>
      </c>
      <c r="G333" s="119">
        <f t="shared" ref="G333:H333" si="71">G334+G336</f>
        <v>529.30000000000007</v>
      </c>
      <c r="H333" s="119">
        <f t="shared" si="71"/>
        <v>529.30000000000007</v>
      </c>
    </row>
    <row r="334" spans="1:8" ht="38.25" x14ac:dyDescent="0.2">
      <c r="A334" s="82" t="s">
        <v>95</v>
      </c>
      <c r="B334" s="82" t="s">
        <v>93</v>
      </c>
      <c r="C334" s="137" t="s">
        <v>489</v>
      </c>
      <c r="D334" s="16"/>
      <c r="E334" s="98" t="s">
        <v>599</v>
      </c>
      <c r="F334" s="113">
        <f t="shared" ref="F334:H334" si="72">F335</f>
        <v>521.4</v>
      </c>
      <c r="G334" s="113">
        <f t="shared" si="72"/>
        <v>522.1</v>
      </c>
      <c r="H334" s="113">
        <f t="shared" si="72"/>
        <v>522.1</v>
      </c>
    </row>
    <row r="335" spans="1:8" ht="38.25" x14ac:dyDescent="0.2">
      <c r="A335" s="82" t="s">
        <v>95</v>
      </c>
      <c r="B335" s="82" t="s">
        <v>93</v>
      </c>
      <c r="C335" s="137" t="s">
        <v>489</v>
      </c>
      <c r="D335" s="82" t="s">
        <v>211</v>
      </c>
      <c r="E335" s="98" t="s">
        <v>212</v>
      </c>
      <c r="F335" s="113">
        <f>522.1-0.7</f>
        <v>521.4</v>
      </c>
      <c r="G335" s="113">
        <v>522.1</v>
      </c>
      <c r="H335" s="113">
        <v>522.1</v>
      </c>
    </row>
    <row r="336" spans="1:8" ht="38.25" x14ac:dyDescent="0.2">
      <c r="A336" s="82" t="s">
        <v>95</v>
      </c>
      <c r="B336" s="82" t="s">
        <v>93</v>
      </c>
      <c r="C336" s="137" t="s">
        <v>542</v>
      </c>
      <c r="D336" s="82"/>
      <c r="E336" s="98" t="s">
        <v>543</v>
      </c>
      <c r="F336" s="113">
        <f>F337</f>
        <v>7.9</v>
      </c>
      <c r="G336" s="113">
        <f t="shared" ref="G336:H336" si="73">G337</f>
        <v>7.2</v>
      </c>
      <c r="H336" s="113">
        <f t="shared" si="73"/>
        <v>7.2</v>
      </c>
    </row>
    <row r="337" spans="1:8" ht="38.25" x14ac:dyDescent="0.2">
      <c r="A337" s="82" t="s">
        <v>95</v>
      </c>
      <c r="B337" s="82" t="s">
        <v>93</v>
      </c>
      <c r="C337" s="137" t="s">
        <v>542</v>
      </c>
      <c r="D337" s="82" t="s">
        <v>211</v>
      </c>
      <c r="E337" s="98" t="s">
        <v>212</v>
      </c>
      <c r="F337" s="113">
        <f>7.2+0.7</f>
        <v>7.9</v>
      </c>
      <c r="G337" s="113">
        <v>7.2</v>
      </c>
      <c r="H337" s="113">
        <v>7.2</v>
      </c>
    </row>
    <row r="338" spans="1:8" ht="89.25" x14ac:dyDescent="0.2">
      <c r="A338" s="5" t="s">
        <v>95</v>
      </c>
      <c r="B338" s="5" t="s">
        <v>93</v>
      </c>
      <c r="C338" s="73" t="s">
        <v>55</v>
      </c>
      <c r="D338" s="16"/>
      <c r="E338" s="53" t="s">
        <v>584</v>
      </c>
      <c r="F338" s="117">
        <f>F339+F358+F363+F371</f>
        <v>108224.70000000001</v>
      </c>
      <c r="G338" s="117">
        <f>G339+G358+G363+G371</f>
        <v>30816.5</v>
      </c>
      <c r="H338" s="117">
        <f>H339+H358+H363+H371</f>
        <v>30841.5</v>
      </c>
    </row>
    <row r="339" spans="1:8" ht="51" x14ac:dyDescent="0.2">
      <c r="A339" s="82" t="s">
        <v>95</v>
      </c>
      <c r="B339" s="82" t="s">
        <v>93</v>
      </c>
      <c r="C339" s="52" t="s">
        <v>56</v>
      </c>
      <c r="D339" s="47"/>
      <c r="E339" s="48" t="s">
        <v>681</v>
      </c>
      <c r="F339" s="119">
        <f>F340+F342+F344++F346+F348+F350+F352+F354+F356</f>
        <v>84826.8</v>
      </c>
      <c r="G339" s="119">
        <f t="shared" ref="G339:H339" si="74">G340+G342+G344++G346+G348+G350+G352+G354+G356</f>
        <v>20727</v>
      </c>
      <c r="H339" s="119">
        <f t="shared" si="74"/>
        <v>15526.999999999998</v>
      </c>
    </row>
    <row r="340" spans="1:8" ht="38.25" x14ac:dyDescent="0.2">
      <c r="A340" s="16" t="s">
        <v>95</v>
      </c>
      <c r="B340" s="82" t="s">
        <v>93</v>
      </c>
      <c r="C340" s="74">
        <v>1210123505</v>
      </c>
      <c r="D340" s="21"/>
      <c r="E340" s="98" t="s">
        <v>517</v>
      </c>
      <c r="F340" s="113">
        <f>F341</f>
        <v>2608.8999999999996</v>
      </c>
      <c r="G340" s="113">
        <f>G341</f>
        <v>0</v>
      </c>
      <c r="H340" s="113">
        <f>H341</f>
        <v>0</v>
      </c>
    </row>
    <row r="341" spans="1:8" ht="38.25" x14ac:dyDescent="0.2">
      <c r="A341" s="82" t="s">
        <v>95</v>
      </c>
      <c r="B341" s="82" t="s">
        <v>93</v>
      </c>
      <c r="C341" s="74">
        <v>1210123505</v>
      </c>
      <c r="D341" s="82" t="s">
        <v>211</v>
      </c>
      <c r="E341" s="98" t="s">
        <v>212</v>
      </c>
      <c r="F341" s="220">
        <f>1266.2-65.9+22.4+1233+153.2</f>
        <v>2608.8999999999996</v>
      </c>
      <c r="G341" s="220">
        <v>0</v>
      </c>
      <c r="H341" s="220">
        <v>0</v>
      </c>
    </row>
    <row r="342" spans="1:8" ht="63.75" x14ac:dyDescent="0.2">
      <c r="A342" s="16" t="s">
        <v>95</v>
      </c>
      <c r="B342" s="82" t="s">
        <v>93</v>
      </c>
      <c r="C342" s="74">
        <v>1210123510</v>
      </c>
      <c r="D342" s="21"/>
      <c r="E342" s="98" t="s">
        <v>746</v>
      </c>
      <c r="F342" s="113">
        <f>F343</f>
        <v>574.70000000000005</v>
      </c>
      <c r="G342" s="113">
        <f t="shared" ref="G342:H342" si="75">G343</f>
        <v>0</v>
      </c>
      <c r="H342" s="113">
        <f t="shared" si="75"/>
        <v>0</v>
      </c>
    </row>
    <row r="343" spans="1:8" ht="38.25" x14ac:dyDescent="0.2">
      <c r="A343" s="82" t="s">
        <v>95</v>
      </c>
      <c r="B343" s="82" t="s">
        <v>93</v>
      </c>
      <c r="C343" s="74">
        <v>1210123510</v>
      </c>
      <c r="D343" s="82" t="s">
        <v>211</v>
      </c>
      <c r="E343" s="98" t="s">
        <v>212</v>
      </c>
      <c r="F343" s="113">
        <v>574.70000000000005</v>
      </c>
      <c r="G343" s="113">
        <v>0</v>
      </c>
      <c r="H343" s="113">
        <v>0</v>
      </c>
    </row>
    <row r="344" spans="1:8" ht="76.5" x14ac:dyDescent="0.2">
      <c r="A344" s="16" t="s">
        <v>95</v>
      </c>
      <c r="B344" s="82" t="s">
        <v>93</v>
      </c>
      <c r="C344" s="74">
        <v>1210121100</v>
      </c>
      <c r="D344" s="21"/>
      <c r="E344" s="98" t="s">
        <v>673</v>
      </c>
      <c r="F344" s="113">
        <f>SUM(F345:F345)</f>
        <v>17226</v>
      </c>
      <c r="G344" s="113">
        <f>SUM(G345:G345)</f>
        <v>14144.9</v>
      </c>
      <c r="H344" s="113">
        <f>SUM(H345:H345)</f>
        <v>8944.9</v>
      </c>
    </row>
    <row r="345" spans="1:8" x14ac:dyDescent="0.2">
      <c r="A345" s="82" t="s">
        <v>95</v>
      </c>
      <c r="B345" s="82" t="s">
        <v>93</v>
      </c>
      <c r="C345" s="74">
        <v>1210121100</v>
      </c>
      <c r="D345" s="21" t="s">
        <v>225</v>
      </c>
      <c r="E345" s="98" t="s">
        <v>224</v>
      </c>
      <c r="F345" s="113">
        <v>17226</v>
      </c>
      <c r="G345" s="113">
        <f>14210.8-65.9</f>
        <v>14144.9</v>
      </c>
      <c r="H345" s="113">
        <f>9010.8-65.9</f>
        <v>8944.9</v>
      </c>
    </row>
    <row r="346" spans="1:8" ht="38.25" x14ac:dyDescent="0.2">
      <c r="A346" s="16" t="s">
        <v>95</v>
      </c>
      <c r="B346" s="82" t="s">
        <v>93</v>
      </c>
      <c r="C346" s="74">
        <v>1210121800</v>
      </c>
      <c r="D346" s="16"/>
      <c r="E346" s="98" t="s">
        <v>716</v>
      </c>
      <c r="F346" s="113">
        <f>F347</f>
        <v>3047</v>
      </c>
      <c r="G346" s="113">
        <f>G347</f>
        <v>0</v>
      </c>
      <c r="H346" s="113">
        <f>H347</f>
        <v>0</v>
      </c>
    </row>
    <row r="347" spans="1:8" x14ac:dyDescent="0.2">
      <c r="A347" s="82" t="s">
        <v>95</v>
      </c>
      <c r="B347" s="82" t="s">
        <v>93</v>
      </c>
      <c r="C347" s="74">
        <v>1210121800</v>
      </c>
      <c r="D347" s="21" t="s">
        <v>225</v>
      </c>
      <c r="E347" s="98" t="s">
        <v>224</v>
      </c>
      <c r="F347" s="113">
        <f>547+2500</f>
        <v>3047</v>
      </c>
      <c r="G347" s="113">
        <v>0</v>
      </c>
      <c r="H347" s="113">
        <v>0</v>
      </c>
    </row>
    <row r="348" spans="1:8" ht="25.5" x14ac:dyDescent="0.2">
      <c r="A348" s="82" t="s">
        <v>95</v>
      </c>
      <c r="B348" s="82" t="s">
        <v>93</v>
      </c>
      <c r="C348" s="74">
        <v>1210123515</v>
      </c>
      <c r="D348" s="16"/>
      <c r="E348" s="98" t="s">
        <v>765</v>
      </c>
      <c r="F348" s="113">
        <f>F349</f>
        <v>450</v>
      </c>
      <c r="G348" s="113">
        <f t="shared" ref="G348:H348" si="76">G349</f>
        <v>0</v>
      </c>
      <c r="H348" s="113">
        <f t="shared" si="76"/>
        <v>0</v>
      </c>
    </row>
    <row r="349" spans="1:8" ht="38.25" x14ac:dyDescent="0.2">
      <c r="A349" s="82" t="s">
        <v>95</v>
      </c>
      <c r="B349" s="82" t="s">
        <v>93</v>
      </c>
      <c r="C349" s="74">
        <v>1210123515</v>
      </c>
      <c r="D349" s="82" t="s">
        <v>211</v>
      </c>
      <c r="E349" s="98" t="s">
        <v>212</v>
      </c>
      <c r="F349" s="113">
        <f>400+50</f>
        <v>450</v>
      </c>
      <c r="G349" s="113">
        <v>0</v>
      </c>
      <c r="H349" s="113">
        <v>0</v>
      </c>
    </row>
    <row r="350" spans="1:8" ht="38.25" x14ac:dyDescent="0.2">
      <c r="A350" s="16" t="s">
        <v>95</v>
      </c>
      <c r="B350" s="82" t="s">
        <v>93</v>
      </c>
      <c r="C350" s="74">
        <v>1210211450</v>
      </c>
      <c r="D350" s="16"/>
      <c r="E350" s="98" t="s">
        <v>674</v>
      </c>
      <c r="F350" s="113">
        <f>F351</f>
        <v>6516.2</v>
      </c>
      <c r="G350" s="113">
        <f>G351</f>
        <v>6516.2</v>
      </c>
      <c r="H350" s="113">
        <f>H351</f>
        <v>6516.2</v>
      </c>
    </row>
    <row r="351" spans="1:8" ht="38.25" x14ac:dyDescent="0.2">
      <c r="A351" s="82" t="s">
        <v>95</v>
      </c>
      <c r="B351" s="82" t="s">
        <v>93</v>
      </c>
      <c r="C351" s="74">
        <v>1210211450</v>
      </c>
      <c r="D351" s="82" t="s">
        <v>211</v>
      </c>
      <c r="E351" s="98" t="s">
        <v>212</v>
      </c>
      <c r="F351" s="220">
        <v>6516.2</v>
      </c>
      <c r="G351" s="220">
        <v>6516.2</v>
      </c>
      <c r="H351" s="220">
        <v>6516.2</v>
      </c>
    </row>
    <row r="352" spans="1:8" ht="38.25" x14ac:dyDescent="0.2">
      <c r="A352" s="16" t="s">
        <v>95</v>
      </c>
      <c r="B352" s="82" t="s">
        <v>93</v>
      </c>
      <c r="C352" s="74" t="s">
        <v>680</v>
      </c>
      <c r="D352" s="21"/>
      <c r="E352" s="98" t="s">
        <v>674</v>
      </c>
      <c r="F352" s="220">
        <f>F353</f>
        <v>65.900000000000006</v>
      </c>
      <c r="G352" s="220">
        <f t="shared" ref="G352:H352" si="77">G353</f>
        <v>65.900000000000006</v>
      </c>
      <c r="H352" s="220">
        <f t="shared" si="77"/>
        <v>65.900000000000006</v>
      </c>
    </row>
    <row r="353" spans="1:8" ht="38.25" x14ac:dyDescent="0.2">
      <c r="A353" s="82" t="s">
        <v>95</v>
      </c>
      <c r="B353" s="82" t="s">
        <v>93</v>
      </c>
      <c r="C353" s="74" t="s">
        <v>680</v>
      </c>
      <c r="D353" s="82" t="s">
        <v>211</v>
      </c>
      <c r="E353" s="98" t="s">
        <v>212</v>
      </c>
      <c r="F353" s="220">
        <v>65.900000000000006</v>
      </c>
      <c r="G353" s="220">
        <v>65.900000000000006</v>
      </c>
      <c r="H353" s="220">
        <v>65.900000000000006</v>
      </c>
    </row>
    <row r="354" spans="1:8" ht="25.5" x14ac:dyDescent="0.2">
      <c r="A354" s="16" t="s">
        <v>95</v>
      </c>
      <c r="B354" s="82" t="s">
        <v>93</v>
      </c>
      <c r="C354" s="21" t="s">
        <v>772</v>
      </c>
      <c r="D354" s="82"/>
      <c r="E354" s="98" t="s">
        <v>773</v>
      </c>
      <c r="F354" s="220">
        <f>F355</f>
        <v>28181.4</v>
      </c>
      <c r="G354" s="220">
        <f t="shared" ref="G354:H354" si="78">G355</f>
        <v>0</v>
      </c>
      <c r="H354" s="220">
        <f t="shared" si="78"/>
        <v>0</v>
      </c>
    </row>
    <row r="355" spans="1:8" ht="38.25" x14ac:dyDescent="0.2">
      <c r="A355" s="82" t="s">
        <v>95</v>
      </c>
      <c r="B355" s="82" t="s">
        <v>93</v>
      </c>
      <c r="C355" s="21" t="s">
        <v>772</v>
      </c>
      <c r="D355" s="82" t="s">
        <v>211</v>
      </c>
      <c r="E355" s="98" t="s">
        <v>212</v>
      </c>
      <c r="F355" s="220">
        <v>28181.4</v>
      </c>
      <c r="G355" s="220">
        <v>0</v>
      </c>
      <c r="H355" s="220">
        <v>0</v>
      </c>
    </row>
    <row r="356" spans="1:8" ht="25.5" x14ac:dyDescent="0.2">
      <c r="A356" s="16" t="s">
        <v>95</v>
      </c>
      <c r="B356" s="82" t="s">
        <v>93</v>
      </c>
      <c r="C356" s="21" t="s">
        <v>774</v>
      </c>
      <c r="D356" s="82"/>
      <c r="E356" s="98" t="s">
        <v>773</v>
      </c>
      <c r="F356" s="220">
        <f>F357</f>
        <v>26156.7</v>
      </c>
      <c r="G356" s="220">
        <f t="shared" ref="G356:H356" si="79">G357</f>
        <v>0</v>
      </c>
      <c r="H356" s="220">
        <f t="shared" si="79"/>
        <v>0</v>
      </c>
    </row>
    <row r="357" spans="1:8" ht="38.25" x14ac:dyDescent="0.2">
      <c r="A357" s="82" t="s">
        <v>95</v>
      </c>
      <c r="B357" s="82" t="s">
        <v>93</v>
      </c>
      <c r="C357" s="21" t="s">
        <v>774</v>
      </c>
      <c r="D357" s="82" t="s">
        <v>211</v>
      </c>
      <c r="E357" s="98" t="s">
        <v>212</v>
      </c>
      <c r="F357" s="220">
        <v>26156.7</v>
      </c>
      <c r="G357" s="220">
        <v>0</v>
      </c>
      <c r="H357" s="220">
        <v>0</v>
      </c>
    </row>
    <row r="358" spans="1:8" ht="25.5" x14ac:dyDescent="0.2">
      <c r="A358" s="82" t="s">
        <v>95</v>
      </c>
      <c r="B358" s="82" t="s">
        <v>93</v>
      </c>
      <c r="C358" s="52" t="s">
        <v>57</v>
      </c>
      <c r="D358" s="47"/>
      <c r="E358" s="48" t="s">
        <v>25</v>
      </c>
      <c r="F358" s="119">
        <f>F359+F361</f>
        <v>2678.2</v>
      </c>
      <c r="G358" s="119">
        <f t="shared" ref="G358:H358" si="80">G359+G361</f>
        <v>1325</v>
      </c>
      <c r="H358" s="119">
        <f t="shared" si="80"/>
        <v>850</v>
      </c>
    </row>
    <row r="359" spans="1:8" ht="25.5" x14ac:dyDescent="0.2">
      <c r="A359" s="82" t="s">
        <v>95</v>
      </c>
      <c r="B359" s="82" t="s">
        <v>93</v>
      </c>
      <c r="C359" s="79">
        <v>1220123525</v>
      </c>
      <c r="D359" s="16"/>
      <c r="E359" s="98" t="s">
        <v>190</v>
      </c>
      <c r="F359" s="113">
        <f t="shared" ref="F359:H359" si="81">F360</f>
        <v>2678.2</v>
      </c>
      <c r="G359" s="113">
        <f t="shared" si="81"/>
        <v>850</v>
      </c>
      <c r="H359" s="113">
        <f t="shared" si="81"/>
        <v>850</v>
      </c>
    </row>
    <row r="360" spans="1:8" ht="38.25" x14ac:dyDescent="0.2">
      <c r="A360" s="82" t="s">
        <v>95</v>
      </c>
      <c r="B360" s="82" t="s">
        <v>93</v>
      </c>
      <c r="C360" s="79">
        <v>1220123525</v>
      </c>
      <c r="D360" s="82" t="s">
        <v>211</v>
      </c>
      <c r="E360" s="98" t="s">
        <v>212</v>
      </c>
      <c r="F360" s="113">
        <v>2678.2</v>
      </c>
      <c r="G360" s="113">
        <v>850</v>
      </c>
      <c r="H360" s="113">
        <v>850</v>
      </c>
    </row>
    <row r="361" spans="1:8" ht="25.5" x14ac:dyDescent="0.2">
      <c r="A361" s="82" t="s">
        <v>95</v>
      </c>
      <c r="B361" s="82" t="s">
        <v>93</v>
      </c>
      <c r="C361" s="79">
        <v>1220223530</v>
      </c>
      <c r="D361" s="16"/>
      <c r="E361" s="98" t="s">
        <v>191</v>
      </c>
      <c r="F361" s="113">
        <f>F362</f>
        <v>0</v>
      </c>
      <c r="G361" s="113">
        <f>G362</f>
        <v>475</v>
      </c>
      <c r="H361" s="113">
        <f>H362</f>
        <v>0</v>
      </c>
    </row>
    <row r="362" spans="1:8" ht="38.25" x14ac:dyDescent="0.2">
      <c r="A362" s="82" t="s">
        <v>95</v>
      </c>
      <c r="B362" s="82" t="s">
        <v>93</v>
      </c>
      <c r="C362" s="79">
        <v>1220223530</v>
      </c>
      <c r="D362" s="82" t="s">
        <v>211</v>
      </c>
      <c r="E362" s="98" t="s">
        <v>212</v>
      </c>
      <c r="F362" s="220">
        <v>0</v>
      </c>
      <c r="G362" s="220">
        <v>475</v>
      </c>
      <c r="H362" s="220">
        <v>0</v>
      </c>
    </row>
    <row r="363" spans="1:8" ht="41.25" customHeight="1" x14ac:dyDescent="0.2">
      <c r="A363" s="82" t="s">
        <v>95</v>
      </c>
      <c r="B363" s="82" t="s">
        <v>93</v>
      </c>
      <c r="C363" s="52" t="s">
        <v>58</v>
      </c>
      <c r="D363" s="47"/>
      <c r="E363" s="48" t="s">
        <v>608</v>
      </c>
      <c r="F363" s="119">
        <f>F364+F367+F369</f>
        <v>2692.8</v>
      </c>
      <c r="G363" s="119">
        <f t="shared" ref="G363:H363" si="82">G364+G367+G369</f>
        <v>107</v>
      </c>
      <c r="H363" s="119">
        <f t="shared" si="82"/>
        <v>107</v>
      </c>
    </row>
    <row r="364" spans="1:8" ht="30" customHeight="1" x14ac:dyDescent="0.2">
      <c r="A364" s="82" t="s">
        <v>95</v>
      </c>
      <c r="B364" s="82" t="s">
        <v>93</v>
      </c>
      <c r="C364" s="21" t="s">
        <v>701</v>
      </c>
      <c r="D364" s="16"/>
      <c r="E364" s="98" t="s">
        <v>702</v>
      </c>
      <c r="F364" s="228">
        <f>SUM(F365:F366)</f>
        <v>1270.1000000000001</v>
      </c>
      <c r="G364" s="113">
        <f t="shared" ref="G364:H364" si="83">G365</f>
        <v>0</v>
      </c>
      <c r="H364" s="113">
        <f t="shared" si="83"/>
        <v>0</v>
      </c>
    </row>
    <row r="365" spans="1:8" ht="41.25" customHeight="1" x14ac:dyDescent="0.2">
      <c r="A365" s="82" t="s">
        <v>95</v>
      </c>
      <c r="B365" s="82" t="s">
        <v>93</v>
      </c>
      <c r="C365" s="21" t="s">
        <v>701</v>
      </c>
      <c r="D365" s="82" t="s">
        <v>211</v>
      </c>
      <c r="E365" s="98" t="s">
        <v>212</v>
      </c>
      <c r="F365" s="113">
        <f>282.8+841.1</f>
        <v>1123.9000000000001</v>
      </c>
      <c r="G365" s="220">
        <v>0</v>
      </c>
      <c r="H365" s="220">
        <v>0</v>
      </c>
    </row>
    <row r="366" spans="1:8" s="200" customFormat="1" ht="18" customHeight="1" x14ac:dyDescent="0.2">
      <c r="A366" s="82" t="s">
        <v>95</v>
      </c>
      <c r="B366" s="82" t="s">
        <v>93</v>
      </c>
      <c r="C366" s="21" t="s">
        <v>701</v>
      </c>
      <c r="D366" s="82" t="s">
        <v>748</v>
      </c>
      <c r="E366" s="173" t="s">
        <v>749</v>
      </c>
      <c r="F366" s="113">
        <v>146.19999999999999</v>
      </c>
      <c r="G366" s="220">
        <v>0</v>
      </c>
      <c r="H366" s="220">
        <v>0</v>
      </c>
    </row>
    <row r="367" spans="1:8" ht="25.5" x14ac:dyDescent="0.2">
      <c r="A367" s="82" t="s">
        <v>95</v>
      </c>
      <c r="B367" s="82" t="s">
        <v>93</v>
      </c>
      <c r="C367" s="21" t="s">
        <v>520</v>
      </c>
      <c r="D367" s="16"/>
      <c r="E367" s="98" t="s">
        <v>23</v>
      </c>
      <c r="F367" s="113">
        <f>F368</f>
        <v>1259.7</v>
      </c>
      <c r="G367" s="113">
        <f>G368</f>
        <v>100</v>
      </c>
      <c r="H367" s="113">
        <f>H368</f>
        <v>100</v>
      </c>
    </row>
    <row r="368" spans="1:8" ht="38.25" x14ac:dyDescent="0.2">
      <c r="A368" s="82" t="s">
        <v>95</v>
      </c>
      <c r="B368" s="82" t="s">
        <v>93</v>
      </c>
      <c r="C368" s="21" t="s">
        <v>520</v>
      </c>
      <c r="D368" s="82" t="s">
        <v>211</v>
      </c>
      <c r="E368" s="98" t="s">
        <v>212</v>
      </c>
      <c r="F368" s="113">
        <f>2062.9-153.2-600-50</f>
        <v>1259.7</v>
      </c>
      <c r="G368" s="113">
        <v>100</v>
      </c>
      <c r="H368" s="113">
        <v>100</v>
      </c>
    </row>
    <row r="369" spans="1:8" ht="25.5" x14ac:dyDescent="0.2">
      <c r="A369" s="82" t="s">
        <v>95</v>
      </c>
      <c r="B369" s="82" t="s">
        <v>93</v>
      </c>
      <c r="C369" s="21" t="s">
        <v>521</v>
      </c>
      <c r="D369" s="16"/>
      <c r="E369" s="98" t="s">
        <v>192</v>
      </c>
      <c r="F369" s="113">
        <f>F370</f>
        <v>163</v>
      </c>
      <c r="G369" s="113">
        <f>G370</f>
        <v>7</v>
      </c>
      <c r="H369" s="113">
        <f>H370</f>
        <v>7</v>
      </c>
    </row>
    <row r="370" spans="1:8" ht="38.25" x14ac:dyDescent="0.2">
      <c r="A370" s="82" t="s">
        <v>95</v>
      </c>
      <c r="B370" s="82" t="s">
        <v>93</v>
      </c>
      <c r="C370" s="21" t="s">
        <v>521</v>
      </c>
      <c r="D370" s="82" t="s">
        <v>211</v>
      </c>
      <c r="E370" s="98" t="s">
        <v>212</v>
      </c>
      <c r="F370" s="113">
        <v>163</v>
      </c>
      <c r="G370" s="113">
        <v>7</v>
      </c>
      <c r="H370" s="113">
        <v>7</v>
      </c>
    </row>
    <row r="371" spans="1:8" ht="51" x14ac:dyDescent="0.2">
      <c r="A371" s="82" t="s">
        <v>95</v>
      </c>
      <c r="B371" s="82" t="s">
        <v>93</v>
      </c>
      <c r="C371" s="52" t="s">
        <v>522</v>
      </c>
      <c r="D371" s="16"/>
      <c r="E371" s="60" t="s">
        <v>523</v>
      </c>
      <c r="F371" s="113">
        <f>F372+F374+F376</f>
        <v>18026.900000000001</v>
      </c>
      <c r="G371" s="113">
        <f t="shared" ref="G371:H371" si="84">G372+G374+G376</f>
        <v>8657.5</v>
      </c>
      <c r="H371" s="113">
        <f t="shared" si="84"/>
        <v>14357.5</v>
      </c>
    </row>
    <row r="372" spans="1:8" ht="38.25" x14ac:dyDescent="0.2">
      <c r="A372" s="16" t="s">
        <v>95</v>
      </c>
      <c r="B372" s="16" t="s">
        <v>93</v>
      </c>
      <c r="C372" s="21" t="s">
        <v>525</v>
      </c>
      <c r="D372" s="82"/>
      <c r="E372" s="98" t="s">
        <v>526</v>
      </c>
      <c r="F372" s="113">
        <f t="shared" ref="F372:H372" si="85">F373</f>
        <v>9844</v>
      </c>
      <c r="G372" s="113">
        <f t="shared" si="85"/>
        <v>3800</v>
      </c>
      <c r="H372" s="113">
        <f t="shared" si="85"/>
        <v>9500</v>
      </c>
    </row>
    <row r="373" spans="1:8" ht="38.25" x14ac:dyDescent="0.2">
      <c r="A373" s="16" t="s">
        <v>95</v>
      </c>
      <c r="B373" s="16" t="s">
        <v>93</v>
      </c>
      <c r="C373" s="21" t="s">
        <v>525</v>
      </c>
      <c r="D373" s="82" t="s">
        <v>211</v>
      </c>
      <c r="E373" s="98" t="s">
        <v>212</v>
      </c>
      <c r="F373" s="113">
        <v>9844</v>
      </c>
      <c r="G373" s="113">
        <v>3800</v>
      </c>
      <c r="H373" s="113">
        <v>9500</v>
      </c>
    </row>
    <row r="374" spans="1:8" ht="25.5" x14ac:dyDescent="0.2">
      <c r="A374" s="16" t="s">
        <v>95</v>
      </c>
      <c r="B374" s="16" t="s">
        <v>93</v>
      </c>
      <c r="C374" s="21" t="s">
        <v>766</v>
      </c>
      <c r="D374" s="82"/>
      <c r="E374" s="98" t="s">
        <v>767</v>
      </c>
      <c r="F374" s="113">
        <f>F375</f>
        <v>483.1</v>
      </c>
      <c r="G374" s="113">
        <f t="shared" ref="G374:H374" si="86">G375</f>
        <v>0</v>
      </c>
      <c r="H374" s="113">
        <f t="shared" si="86"/>
        <v>0</v>
      </c>
    </row>
    <row r="375" spans="1:8" ht="38.25" x14ac:dyDescent="0.2">
      <c r="A375" s="16" t="s">
        <v>95</v>
      </c>
      <c r="B375" s="16" t="s">
        <v>93</v>
      </c>
      <c r="C375" s="21" t="s">
        <v>766</v>
      </c>
      <c r="D375" s="82" t="s">
        <v>211</v>
      </c>
      <c r="E375" s="98" t="s">
        <v>212</v>
      </c>
      <c r="F375" s="113">
        <f>241.5+241.6</f>
        <v>483.1</v>
      </c>
      <c r="G375" s="113">
        <v>0</v>
      </c>
      <c r="H375" s="113">
        <v>0</v>
      </c>
    </row>
    <row r="376" spans="1:8" ht="89.25" x14ac:dyDescent="0.2">
      <c r="A376" s="16" t="s">
        <v>95</v>
      </c>
      <c r="B376" s="16" t="s">
        <v>93</v>
      </c>
      <c r="C376" s="21" t="s">
        <v>675</v>
      </c>
      <c r="D376" s="82"/>
      <c r="E376" s="98" t="s">
        <v>676</v>
      </c>
      <c r="F376" s="113">
        <f>F377</f>
        <v>7699.8</v>
      </c>
      <c r="G376" s="113">
        <f t="shared" ref="G376:H376" si="87">G377</f>
        <v>4857.5</v>
      </c>
      <c r="H376" s="113">
        <f t="shared" si="87"/>
        <v>4857.5</v>
      </c>
    </row>
    <row r="377" spans="1:8" x14ac:dyDescent="0.2">
      <c r="A377" s="16" t="s">
        <v>95</v>
      </c>
      <c r="B377" s="16" t="s">
        <v>93</v>
      </c>
      <c r="C377" s="21" t="s">
        <v>675</v>
      </c>
      <c r="D377" s="21" t="s">
        <v>225</v>
      </c>
      <c r="E377" s="98" t="s">
        <v>224</v>
      </c>
      <c r="F377" s="113">
        <v>7699.8</v>
      </c>
      <c r="G377" s="113">
        <v>4857.5</v>
      </c>
      <c r="H377" s="113">
        <v>4857.5</v>
      </c>
    </row>
    <row r="378" spans="1:8" ht="89.25" x14ac:dyDescent="0.2">
      <c r="A378" s="5" t="s">
        <v>95</v>
      </c>
      <c r="B378" s="5" t="s">
        <v>93</v>
      </c>
      <c r="C378" s="76">
        <v>1400000000</v>
      </c>
      <c r="D378" s="16"/>
      <c r="E378" s="141" t="s">
        <v>586</v>
      </c>
      <c r="F378" s="117">
        <f>F379</f>
        <v>127117.69999999998</v>
      </c>
      <c r="G378" s="117">
        <f>G379</f>
        <v>0</v>
      </c>
      <c r="H378" s="117">
        <f>H379</f>
        <v>0</v>
      </c>
    </row>
    <row r="379" spans="1:8" ht="89.25" x14ac:dyDescent="0.2">
      <c r="A379" s="47" t="s">
        <v>95</v>
      </c>
      <c r="B379" s="47" t="s">
        <v>93</v>
      </c>
      <c r="C379" s="75">
        <v>1410000000</v>
      </c>
      <c r="D379" s="16"/>
      <c r="E379" s="48" t="s">
        <v>216</v>
      </c>
      <c r="F379" s="119">
        <f>F380+F382+F384+F386</f>
        <v>127117.69999999998</v>
      </c>
      <c r="G379" s="119">
        <f t="shared" ref="G379:H379" si="88">G380+G382+G384+G386</f>
        <v>0</v>
      </c>
      <c r="H379" s="119">
        <f t="shared" si="88"/>
        <v>0</v>
      </c>
    </row>
    <row r="380" spans="1:8" ht="38.25" x14ac:dyDescent="0.2">
      <c r="A380" s="82" t="s">
        <v>95</v>
      </c>
      <c r="B380" s="82" t="s">
        <v>93</v>
      </c>
      <c r="C380" s="74">
        <v>1410223125</v>
      </c>
      <c r="D380" s="82"/>
      <c r="E380" s="98" t="s">
        <v>639</v>
      </c>
      <c r="F380" s="113">
        <f>F381</f>
        <v>676.30000000000007</v>
      </c>
      <c r="G380" s="113">
        <f>G381</f>
        <v>0</v>
      </c>
      <c r="H380" s="113">
        <f>H381</f>
        <v>0</v>
      </c>
    </row>
    <row r="381" spans="1:8" ht="38.25" x14ac:dyDescent="0.2">
      <c r="A381" s="82" t="s">
        <v>95</v>
      </c>
      <c r="B381" s="82" t="s">
        <v>93</v>
      </c>
      <c r="C381" s="74">
        <v>1410223125</v>
      </c>
      <c r="D381" s="82" t="s">
        <v>211</v>
      </c>
      <c r="E381" s="98" t="s">
        <v>212</v>
      </c>
      <c r="F381" s="113">
        <f>685.6-9.3</f>
        <v>676.30000000000007</v>
      </c>
      <c r="G381" s="113">
        <v>0</v>
      </c>
      <c r="H381" s="113">
        <v>0</v>
      </c>
    </row>
    <row r="382" spans="1:8" ht="25.5" x14ac:dyDescent="0.2">
      <c r="A382" s="82" t="s">
        <v>95</v>
      </c>
      <c r="B382" s="82" t="s">
        <v>93</v>
      </c>
      <c r="C382" s="74">
        <v>1410223130</v>
      </c>
      <c r="D382" s="82"/>
      <c r="E382" s="108" t="s">
        <v>640</v>
      </c>
      <c r="F382" s="113">
        <f>F383</f>
        <v>18918.2</v>
      </c>
      <c r="G382" s="113">
        <f t="shared" ref="G382:H382" si="89">G383</f>
        <v>0</v>
      </c>
      <c r="H382" s="113">
        <f t="shared" si="89"/>
        <v>0</v>
      </c>
    </row>
    <row r="383" spans="1:8" ht="38.25" x14ac:dyDescent="0.2">
      <c r="A383" s="82" t="s">
        <v>95</v>
      </c>
      <c r="B383" s="82" t="s">
        <v>93</v>
      </c>
      <c r="C383" s="74">
        <v>1410223130</v>
      </c>
      <c r="D383" s="82" t="s">
        <v>211</v>
      </c>
      <c r="E383" s="98" t="s">
        <v>212</v>
      </c>
      <c r="F383" s="113">
        <f>14930.6-930.6+4918.2</f>
        <v>18918.2</v>
      </c>
      <c r="G383" s="113">
        <v>0</v>
      </c>
      <c r="H383" s="113">
        <v>0</v>
      </c>
    </row>
    <row r="384" spans="1:8" ht="38.25" x14ac:dyDescent="0.2">
      <c r="A384" s="16" t="s">
        <v>95</v>
      </c>
      <c r="B384" s="16" t="s">
        <v>93</v>
      </c>
      <c r="C384" s="74" t="s">
        <v>349</v>
      </c>
      <c r="D384" s="16"/>
      <c r="E384" s="98" t="s">
        <v>316</v>
      </c>
      <c r="F384" s="113">
        <f>F385</f>
        <v>13527.6</v>
      </c>
      <c r="G384" s="113">
        <f>G385</f>
        <v>0</v>
      </c>
      <c r="H384" s="113">
        <f>H385</f>
        <v>0</v>
      </c>
    </row>
    <row r="385" spans="1:8" ht="38.25" x14ac:dyDescent="0.2">
      <c r="A385" s="82" t="s">
        <v>95</v>
      </c>
      <c r="B385" s="16" t="s">
        <v>93</v>
      </c>
      <c r="C385" s="74" t="s">
        <v>349</v>
      </c>
      <c r="D385" s="82" t="s">
        <v>211</v>
      </c>
      <c r="E385" s="98" t="s">
        <v>212</v>
      </c>
      <c r="F385" s="113">
        <v>13527.6</v>
      </c>
      <c r="G385" s="113">
        <v>0</v>
      </c>
      <c r="H385" s="113">
        <v>0</v>
      </c>
    </row>
    <row r="386" spans="1:8" ht="63.75" x14ac:dyDescent="0.2">
      <c r="A386" s="16" t="s">
        <v>95</v>
      </c>
      <c r="B386" s="16" t="s">
        <v>93</v>
      </c>
      <c r="C386" s="129" t="s">
        <v>664</v>
      </c>
      <c r="D386" s="16"/>
      <c r="E386" s="98" t="s">
        <v>665</v>
      </c>
      <c r="F386" s="113">
        <f>F387</f>
        <v>93995.599999999991</v>
      </c>
      <c r="G386" s="113">
        <f>G387</f>
        <v>0</v>
      </c>
      <c r="H386" s="113">
        <f>H387</f>
        <v>0</v>
      </c>
    </row>
    <row r="387" spans="1:8" x14ac:dyDescent="0.2">
      <c r="A387" s="82" t="s">
        <v>95</v>
      </c>
      <c r="B387" s="16" t="s">
        <v>93</v>
      </c>
      <c r="C387" s="129" t="s">
        <v>664</v>
      </c>
      <c r="D387" s="21" t="s">
        <v>225</v>
      </c>
      <c r="E387" s="98" t="s">
        <v>224</v>
      </c>
      <c r="F387" s="113">
        <f>93055.7+939.9</f>
        <v>93995.599999999991</v>
      </c>
      <c r="G387" s="113">
        <v>0</v>
      </c>
      <c r="H387" s="113">
        <v>0</v>
      </c>
    </row>
    <row r="388" spans="1:8" ht="127.5" x14ac:dyDescent="0.2">
      <c r="A388" s="5" t="s">
        <v>95</v>
      </c>
      <c r="B388" s="5" t="s">
        <v>93</v>
      </c>
      <c r="C388" s="73" t="s">
        <v>540</v>
      </c>
      <c r="D388" s="82"/>
      <c r="E388" s="141" t="s">
        <v>587</v>
      </c>
      <c r="F388" s="117">
        <f>F389+F392</f>
        <v>21285.599999999999</v>
      </c>
      <c r="G388" s="117">
        <f t="shared" ref="G388:H389" si="90">G389</f>
        <v>300</v>
      </c>
      <c r="H388" s="117">
        <f t="shared" si="90"/>
        <v>300</v>
      </c>
    </row>
    <row r="389" spans="1:8" ht="63.75" x14ac:dyDescent="0.2">
      <c r="A389" s="47" t="s">
        <v>95</v>
      </c>
      <c r="B389" s="47" t="s">
        <v>93</v>
      </c>
      <c r="C389" s="140">
        <v>1510000000</v>
      </c>
      <c r="D389" s="82"/>
      <c r="E389" s="48" t="s">
        <v>361</v>
      </c>
      <c r="F389" s="113">
        <f>F390</f>
        <v>0</v>
      </c>
      <c r="G389" s="113">
        <f t="shared" si="90"/>
        <v>300</v>
      </c>
      <c r="H389" s="113">
        <f t="shared" si="90"/>
        <v>300</v>
      </c>
    </row>
    <row r="390" spans="1:8" ht="63.75" customHeight="1" x14ac:dyDescent="0.2">
      <c r="A390" s="166" t="s">
        <v>95</v>
      </c>
      <c r="B390" s="167" t="s">
        <v>93</v>
      </c>
      <c r="C390" s="168" t="s">
        <v>728</v>
      </c>
      <c r="D390" s="82"/>
      <c r="E390" s="99" t="s">
        <v>729</v>
      </c>
      <c r="F390" s="113">
        <f>F391</f>
        <v>0</v>
      </c>
      <c r="G390" s="113">
        <f t="shared" ref="G390:H390" si="91">G391</f>
        <v>300</v>
      </c>
      <c r="H390" s="113">
        <f t="shared" si="91"/>
        <v>300</v>
      </c>
    </row>
    <row r="391" spans="1:8" ht="39" customHeight="1" x14ac:dyDescent="0.2">
      <c r="A391" s="166" t="s">
        <v>95</v>
      </c>
      <c r="B391" s="167" t="s">
        <v>93</v>
      </c>
      <c r="C391" s="168" t="s">
        <v>728</v>
      </c>
      <c r="D391" s="82" t="s">
        <v>211</v>
      </c>
      <c r="E391" s="99" t="s">
        <v>212</v>
      </c>
      <c r="F391" s="113">
        <v>0</v>
      </c>
      <c r="G391" s="113">
        <v>300</v>
      </c>
      <c r="H391" s="113">
        <v>300</v>
      </c>
    </row>
    <row r="392" spans="1:8" ht="63.75" x14ac:dyDescent="0.2">
      <c r="A392" s="166" t="s">
        <v>95</v>
      </c>
      <c r="B392" s="167" t="s">
        <v>93</v>
      </c>
      <c r="C392" s="140">
        <v>1520000000</v>
      </c>
      <c r="D392" s="82"/>
      <c r="E392" s="48" t="s">
        <v>761</v>
      </c>
      <c r="F392" s="229">
        <f>F393</f>
        <v>21285.599999999999</v>
      </c>
      <c r="G392" s="229">
        <f t="shared" ref="G392:H393" si="92">G393</f>
        <v>0</v>
      </c>
      <c r="H392" s="229">
        <f t="shared" si="92"/>
        <v>0</v>
      </c>
    </row>
    <row r="393" spans="1:8" ht="54" customHeight="1" x14ac:dyDescent="0.2">
      <c r="A393" s="166" t="s">
        <v>95</v>
      </c>
      <c r="B393" s="167" t="s">
        <v>93</v>
      </c>
      <c r="C393" s="129">
        <v>1520424016</v>
      </c>
      <c r="D393" s="82"/>
      <c r="E393" s="98" t="s">
        <v>762</v>
      </c>
      <c r="F393" s="229">
        <f>F394</f>
        <v>21285.599999999999</v>
      </c>
      <c r="G393" s="229">
        <f t="shared" si="92"/>
        <v>0</v>
      </c>
      <c r="H393" s="229">
        <f t="shared" si="92"/>
        <v>0</v>
      </c>
    </row>
    <row r="394" spans="1:8" ht="38.25" x14ac:dyDescent="0.2">
      <c r="A394" s="166" t="s">
        <v>95</v>
      </c>
      <c r="B394" s="167" t="s">
        <v>93</v>
      </c>
      <c r="C394" s="129">
        <v>1520424016</v>
      </c>
      <c r="D394" s="166" t="s">
        <v>211</v>
      </c>
      <c r="E394" s="169" t="s">
        <v>212</v>
      </c>
      <c r="F394" s="220">
        <f>31000+19963.4-31614.4+1936.6</f>
        <v>21285.599999999999</v>
      </c>
      <c r="G394" s="229">
        <v>0</v>
      </c>
      <c r="H394" s="229">
        <v>0</v>
      </c>
    </row>
    <row r="395" spans="1:8" ht="25.5" x14ac:dyDescent="0.2">
      <c r="A395" s="166" t="s">
        <v>95</v>
      </c>
      <c r="B395" s="167" t="s">
        <v>93</v>
      </c>
      <c r="C395" s="79">
        <v>9900000000</v>
      </c>
      <c r="D395" s="16"/>
      <c r="E395" s="55" t="s">
        <v>144</v>
      </c>
      <c r="F395" s="224">
        <f t="shared" ref="F395:H397" si="93">F396</f>
        <v>153.69999999999999</v>
      </c>
      <c r="G395" s="224">
        <f t="shared" si="93"/>
        <v>0</v>
      </c>
      <c r="H395" s="224">
        <f t="shared" si="93"/>
        <v>0</v>
      </c>
    </row>
    <row r="396" spans="1:8" ht="14.25" x14ac:dyDescent="0.2">
      <c r="A396" s="166" t="s">
        <v>95</v>
      </c>
      <c r="B396" s="167" t="s">
        <v>93</v>
      </c>
      <c r="C396" s="79">
        <v>9920000000</v>
      </c>
      <c r="D396" s="35"/>
      <c r="E396" s="126" t="s">
        <v>5</v>
      </c>
      <c r="F396" s="224">
        <f t="shared" si="93"/>
        <v>153.69999999999999</v>
      </c>
      <c r="G396" s="224">
        <f t="shared" si="93"/>
        <v>0</v>
      </c>
      <c r="H396" s="224">
        <f t="shared" si="93"/>
        <v>0</v>
      </c>
    </row>
    <row r="397" spans="1:8" ht="25.5" x14ac:dyDescent="0.2">
      <c r="A397" s="166" t="s">
        <v>95</v>
      </c>
      <c r="B397" s="167" t="s">
        <v>93</v>
      </c>
      <c r="C397" s="79">
        <v>9920026100</v>
      </c>
      <c r="D397" s="21"/>
      <c r="E397" s="99" t="s">
        <v>11</v>
      </c>
      <c r="F397" s="220">
        <f t="shared" si="93"/>
        <v>153.69999999999999</v>
      </c>
      <c r="G397" s="220">
        <f t="shared" si="93"/>
        <v>0</v>
      </c>
      <c r="H397" s="220">
        <f t="shared" si="93"/>
        <v>0</v>
      </c>
    </row>
    <row r="398" spans="1:8" ht="38.25" x14ac:dyDescent="0.2">
      <c r="A398" s="166" t="s">
        <v>95</v>
      </c>
      <c r="B398" s="167" t="s">
        <v>93</v>
      </c>
      <c r="C398" s="79">
        <v>9920026100</v>
      </c>
      <c r="D398" s="166" t="s">
        <v>211</v>
      </c>
      <c r="E398" s="169" t="s">
        <v>212</v>
      </c>
      <c r="F398" s="220">
        <v>153.69999999999999</v>
      </c>
      <c r="G398" s="220">
        <v>0</v>
      </c>
      <c r="H398" s="220">
        <v>0</v>
      </c>
    </row>
    <row r="399" spans="1:8" ht="42.75" x14ac:dyDescent="0.2">
      <c r="A399" s="30" t="s">
        <v>95</v>
      </c>
      <c r="B399" s="30" t="s">
        <v>95</v>
      </c>
      <c r="C399" s="30"/>
      <c r="D399" s="30"/>
      <c r="E399" s="50" t="s">
        <v>478</v>
      </c>
      <c r="F399" s="119">
        <f>F400</f>
        <v>1380.9</v>
      </c>
      <c r="G399" s="119">
        <f t="shared" ref="G399:H399" si="94">G400</f>
        <v>1180.9000000000001</v>
      </c>
      <c r="H399" s="119">
        <f t="shared" si="94"/>
        <v>1180.9000000000001</v>
      </c>
    </row>
    <row r="400" spans="1:8" ht="63.75" x14ac:dyDescent="0.2">
      <c r="A400" s="5" t="s">
        <v>95</v>
      </c>
      <c r="B400" s="5" t="s">
        <v>95</v>
      </c>
      <c r="C400" s="76">
        <v>400000000</v>
      </c>
      <c r="D400" s="31"/>
      <c r="E400" s="64" t="s">
        <v>375</v>
      </c>
      <c r="F400" s="117">
        <f>F401</f>
        <v>1380.9</v>
      </c>
      <c r="G400" s="117">
        <f t="shared" ref="G400:H400" si="95">G401</f>
        <v>1180.9000000000001</v>
      </c>
      <c r="H400" s="117">
        <f t="shared" si="95"/>
        <v>1180.9000000000001</v>
      </c>
    </row>
    <row r="401" spans="1:8" ht="140.25" x14ac:dyDescent="0.2">
      <c r="A401" s="82" t="s">
        <v>95</v>
      </c>
      <c r="B401" s="82" t="s">
        <v>95</v>
      </c>
      <c r="C401" s="75">
        <v>430000000</v>
      </c>
      <c r="D401" s="16"/>
      <c r="E401" s="46" t="s">
        <v>477</v>
      </c>
      <c r="F401" s="220">
        <f>F402+F404</f>
        <v>1380.9</v>
      </c>
      <c r="G401" s="220">
        <f t="shared" ref="G401:H401" si="96">G402+G404</f>
        <v>1180.9000000000001</v>
      </c>
      <c r="H401" s="220">
        <f t="shared" si="96"/>
        <v>1180.9000000000001</v>
      </c>
    </row>
    <row r="402" spans="1:8" ht="103.5" customHeight="1" x14ac:dyDescent="0.2">
      <c r="A402" s="82" t="s">
        <v>95</v>
      </c>
      <c r="B402" s="82" t="s">
        <v>95</v>
      </c>
      <c r="C402" s="79">
        <v>430127310</v>
      </c>
      <c r="D402" s="16"/>
      <c r="E402" s="98" t="s">
        <v>591</v>
      </c>
      <c r="F402" s="113">
        <f>F403</f>
        <v>1200</v>
      </c>
      <c r="G402" s="113">
        <f>G403</f>
        <v>1000</v>
      </c>
      <c r="H402" s="113">
        <f>H403</f>
        <v>1000</v>
      </c>
    </row>
    <row r="403" spans="1:8" ht="63.75" x14ac:dyDescent="0.2">
      <c r="A403" s="82" t="s">
        <v>95</v>
      </c>
      <c r="B403" s="82" t="s">
        <v>95</v>
      </c>
      <c r="C403" s="79">
        <v>430127310</v>
      </c>
      <c r="D403" s="16" t="s">
        <v>12</v>
      </c>
      <c r="E403" s="98" t="s">
        <v>318</v>
      </c>
      <c r="F403" s="113">
        <v>1200</v>
      </c>
      <c r="G403" s="113">
        <v>1000</v>
      </c>
      <c r="H403" s="113">
        <v>1000</v>
      </c>
    </row>
    <row r="404" spans="1:8" ht="114.75" x14ac:dyDescent="0.2">
      <c r="A404" s="82" t="s">
        <v>95</v>
      </c>
      <c r="B404" s="82" t="s">
        <v>95</v>
      </c>
      <c r="C404" s="79">
        <v>430127320</v>
      </c>
      <c r="D404" s="16"/>
      <c r="E404" s="98" t="s">
        <v>479</v>
      </c>
      <c r="F404" s="113">
        <f>F405</f>
        <v>180.9</v>
      </c>
      <c r="G404" s="113">
        <f t="shared" ref="G404:H404" si="97">G405</f>
        <v>180.9</v>
      </c>
      <c r="H404" s="113">
        <f t="shared" si="97"/>
        <v>180.9</v>
      </c>
    </row>
    <row r="405" spans="1:8" ht="63.75" x14ac:dyDescent="0.2">
      <c r="A405" s="82" t="s">
        <v>95</v>
      </c>
      <c r="B405" s="82" t="s">
        <v>95</v>
      </c>
      <c r="C405" s="79">
        <v>430127320</v>
      </c>
      <c r="D405" s="16" t="s">
        <v>12</v>
      </c>
      <c r="E405" s="98" t="s">
        <v>318</v>
      </c>
      <c r="F405" s="113">
        <v>180.9</v>
      </c>
      <c r="G405" s="113">
        <v>180.9</v>
      </c>
      <c r="H405" s="113">
        <v>180.9</v>
      </c>
    </row>
    <row r="406" spans="1:8" ht="15.75" x14ac:dyDescent="0.25">
      <c r="A406" s="4" t="s">
        <v>104</v>
      </c>
      <c r="B406" s="3"/>
      <c r="C406" s="3"/>
      <c r="D406" s="3"/>
      <c r="E406" s="10" t="s">
        <v>105</v>
      </c>
      <c r="F406" s="218">
        <f>F407+F426+F478+F519+F524+F550</f>
        <v>786585.1</v>
      </c>
      <c r="G406" s="218">
        <f>G407+G426+G478+G519+G524+G550</f>
        <v>774592.90000000014</v>
      </c>
      <c r="H406" s="218">
        <f>H407+H426+H478+H519+H524+H550</f>
        <v>805608.30000000016</v>
      </c>
    </row>
    <row r="407" spans="1:8" s="37" customFormat="1" ht="14.25" x14ac:dyDescent="0.2">
      <c r="A407" s="35" t="s">
        <v>104</v>
      </c>
      <c r="B407" s="35" t="s">
        <v>88</v>
      </c>
      <c r="C407" s="35"/>
      <c r="D407" s="35"/>
      <c r="E407" s="45" t="s">
        <v>107</v>
      </c>
      <c r="F407" s="226">
        <f>F408</f>
        <v>185012.69999999998</v>
      </c>
      <c r="G407" s="226">
        <f t="shared" ref="G407:H407" si="98">G408</f>
        <v>190754.2</v>
      </c>
      <c r="H407" s="226">
        <f t="shared" si="98"/>
        <v>196679.9</v>
      </c>
    </row>
    <row r="408" spans="1:8" ht="76.5" x14ac:dyDescent="0.2">
      <c r="A408" s="16" t="s">
        <v>104</v>
      </c>
      <c r="B408" s="16" t="s">
        <v>88</v>
      </c>
      <c r="C408" s="21" t="s">
        <v>73</v>
      </c>
      <c r="D408" s="35"/>
      <c r="E408" s="64" t="s">
        <v>571</v>
      </c>
      <c r="F408" s="230">
        <f t="shared" ref="F408:H408" si="99">F409</f>
        <v>185012.69999999998</v>
      </c>
      <c r="G408" s="230">
        <f t="shared" si="99"/>
        <v>190754.2</v>
      </c>
      <c r="H408" s="230">
        <f t="shared" si="99"/>
        <v>196679.9</v>
      </c>
    </row>
    <row r="409" spans="1:8" ht="25.5" x14ac:dyDescent="0.2">
      <c r="A409" s="16" t="s">
        <v>104</v>
      </c>
      <c r="B409" s="16" t="s">
        <v>88</v>
      </c>
      <c r="C409" s="52" t="s">
        <v>74</v>
      </c>
      <c r="D409" s="35"/>
      <c r="E409" s="46" t="s">
        <v>388</v>
      </c>
      <c r="F409" s="224">
        <f>F410+F412+F414+F416+F418+F420+F422</f>
        <v>185012.69999999998</v>
      </c>
      <c r="G409" s="224">
        <f>G410+G412+G414+G416+G418+G420+G422+G424</f>
        <v>190754.2</v>
      </c>
      <c r="H409" s="224">
        <f t="shared" ref="H409" si="100">H410+H412+H414+H416+H418+H420</f>
        <v>196679.9</v>
      </c>
    </row>
    <row r="410" spans="1:8" ht="54.75" customHeight="1" x14ac:dyDescent="0.2">
      <c r="A410" s="56" t="s">
        <v>104</v>
      </c>
      <c r="B410" s="56" t="s">
        <v>88</v>
      </c>
      <c r="C410" s="21" t="s">
        <v>379</v>
      </c>
      <c r="D410" s="21"/>
      <c r="E410" s="98" t="s">
        <v>378</v>
      </c>
      <c r="F410" s="224">
        <f>F411</f>
        <v>109172.3</v>
      </c>
      <c r="G410" s="224">
        <f t="shared" ref="G410:H410" si="101">G411</f>
        <v>116433.09999999999</v>
      </c>
      <c r="H410" s="224">
        <f t="shared" si="101"/>
        <v>123858.79999999999</v>
      </c>
    </row>
    <row r="411" spans="1:8" x14ac:dyDescent="0.2">
      <c r="A411" s="56" t="s">
        <v>104</v>
      </c>
      <c r="B411" s="56" t="s">
        <v>88</v>
      </c>
      <c r="C411" s="21" t="s">
        <v>379</v>
      </c>
      <c r="D411" s="21" t="s">
        <v>225</v>
      </c>
      <c r="E411" s="98" t="s">
        <v>224</v>
      </c>
      <c r="F411" s="220">
        <f>94397.6+6694.2+8080.5</f>
        <v>109172.3</v>
      </c>
      <c r="G411" s="220">
        <f>94400.5+6555.7+15476.9</f>
        <v>116433.09999999999</v>
      </c>
      <c r="H411" s="220">
        <f>94400.5+6555.7+22902.6</f>
        <v>123858.79999999999</v>
      </c>
    </row>
    <row r="412" spans="1:8" ht="76.5" x14ac:dyDescent="0.25">
      <c r="A412" s="56" t="s">
        <v>104</v>
      </c>
      <c r="B412" s="56" t="s">
        <v>88</v>
      </c>
      <c r="C412" s="131" t="s">
        <v>381</v>
      </c>
      <c r="D412" s="21"/>
      <c r="E412" s="98" t="s">
        <v>380</v>
      </c>
      <c r="F412" s="224">
        <f>F413</f>
        <v>74539.600000000006</v>
      </c>
      <c r="G412" s="224">
        <f t="shared" ref="G412:H412" si="102">G413</f>
        <v>72821.100000000006</v>
      </c>
      <c r="H412" s="224">
        <f t="shared" si="102"/>
        <v>72821.100000000006</v>
      </c>
    </row>
    <row r="413" spans="1:8" ht="15" x14ac:dyDescent="0.25">
      <c r="A413" s="56" t="s">
        <v>104</v>
      </c>
      <c r="B413" s="56" t="s">
        <v>88</v>
      </c>
      <c r="C413" s="131" t="s">
        <v>381</v>
      </c>
      <c r="D413" s="21" t="s">
        <v>225</v>
      </c>
      <c r="E413" s="98" t="s">
        <v>224</v>
      </c>
      <c r="F413" s="224">
        <f>72821.1+2851.3-1125-7.8</f>
        <v>74539.600000000006</v>
      </c>
      <c r="G413" s="224">
        <v>72821.100000000006</v>
      </c>
      <c r="H413" s="224">
        <v>72821.100000000006</v>
      </c>
    </row>
    <row r="414" spans="1:8" s="203" customFormat="1" ht="63.75" x14ac:dyDescent="0.25">
      <c r="A414" s="56" t="s">
        <v>104</v>
      </c>
      <c r="B414" s="56" t="s">
        <v>88</v>
      </c>
      <c r="C414" s="205" t="s">
        <v>808</v>
      </c>
      <c r="D414" s="21"/>
      <c r="E414" s="98" t="s">
        <v>809</v>
      </c>
      <c r="F414" s="224">
        <f>F415</f>
        <v>770.8</v>
      </c>
      <c r="G414" s="224">
        <f t="shared" ref="G414:H414" si="103">G415</f>
        <v>0</v>
      </c>
      <c r="H414" s="224">
        <f t="shared" si="103"/>
        <v>0</v>
      </c>
    </row>
    <row r="415" spans="1:8" s="203" customFormat="1" ht="15" x14ac:dyDescent="0.25">
      <c r="A415" s="56" t="s">
        <v>104</v>
      </c>
      <c r="B415" s="56" t="s">
        <v>88</v>
      </c>
      <c r="C415" s="204" t="s">
        <v>808</v>
      </c>
      <c r="D415" s="21" t="s">
        <v>225</v>
      </c>
      <c r="E415" s="98" t="s">
        <v>224</v>
      </c>
      <c r="F415" s="220">
        <v>770.8</v>
      </c>
      <c r="G415" s="220">
        <v>0</v>
      </c>
      <c r="H415" s="220">
        <v>0</v>
      </c>
    </row>
    <row r="416" spans="1:8" s="203" customFormat="1" ht="77.25" x14ac:dyDescent="0.25">
      <c r="A416" s="56" t="s">
        <v>104</v>
      </c>
      <c r="B416" s="56" t="s">
        <v>88</v>
      </c>
      <c r="C416" s="205" t="s">
        <v>810</v>
      </c>
      <c r="D416" s="21"/>
      <c r="E416" s="108" t="s">
        <v>811</v>
      </c>
      <c r="F416" s="224">
        <f>F417</f>
        <v>7.8</v>
      </c>
      <c r="G416" s="224">
        <f t="shared" ref="G416:H416" si="104">G417</f>
        <v>0</v>
      </c>
      <c r="H416" s="224">
        <f t="shared" si="104"/>
        <v>0</v>
      </c>
    </row>
    <row r="417" spans="1:10" s="203" customFormat="1" ht="15" x14ac:dyDescent="0.25">
      <c r="A417" s="56" t="s">
        <v>104</v>
      </c>
      <c r="B417" s="56" t="s">
        <v>88</v>
      </c>
      <c r="C417" s="205" t="s">
        <v>810</v>
      </c>
      <c r="D417" s="21" t="s">
        <v>225</v>
      </c>
      <c r="E417" s="98" t="s">
        <v>224</v>
      </c>
      <c r="F417" s="220">
        <v>7.8</v>
      </c>
      <c r="G417" s="224">
        <v>0</v>
      </c>
      <c r="H417" s="224">
        <v>0</v>
      </c>
    </row>
    <row r="418" spans="1:10" ht="49.5" customHeight="1" x14ac:dyDescent="0.2">
      <c r="A418" s="56" t="s">
        <v>104</v>
      </c>
      <c r="B418" s="56" t="s">
        <v>88</v>
      </c>
      <c r="C418" s="21" t="s">
        <v>384</v>
      </c>
      <c r="D418" s="57"/>
      <c r="E418" s="97" t="s">
        <v>383</v>
      </c>
      <c r="F418" s="224">
        <f>F419</f>
        <v>342.9</v>
      </c>
      <c r="G418" s="224">
        <f t="shared" ref="G418:H418" si="105">G419</f>
        <v>0</v>
      </c>
      <c r="H418" s="224">
        <f t="shared" si="105"/>
        <v>0</v>
      </c>
    </row>
    <row r="419" spans="1:10" x14ac:dyDescent="0.2">
      <c r="A419" s="56" t="s">
        <v>104</v>
      </c>
      <c r="B419" s="56" t="s">
        <v>88</v>
      </c>
      <c r="C419" s="21" t="s">
        <v>384</v>
      </c>
      <c r="D419" s="21" t="s">
        <v>225</v>
      </c>
      <c r="E419" s="98" t="s">
        <v>224</v>
      </c>
      <c r="F419" s="224">
        <f>120+22.9+200</f>
        <v>342.9</v>
      </c>
      <c r="G419" s="224">
        <v>0</v>
      </c>
      <c r="H419" s="224">
        <v>0</v>
      </c>
    </row>
    <row r="420" spans="1:10" ht="63.75" x14ac:dyDescent="0.2">
      <c r="A420" s="56" t="s">
        <v>104</v>
      </c>
      <c r="B420" s="56" t="s">
        <v>88</v>
      </c>
      <c r="C420" s="57" t="s">
        <v>703</v>
      </c>
      <c r="D420" s="21"/>
      <c r="E420" s="98" t="s">
        <v>704</v>
      </c>
      <c r="F420" s="224">
        <f t="shared" ref="F420:H420" si="106">F421</f>
        <v>179.3</v>
      </c>
      <c r="G420" s="224">
        <f t="shared" si="106"/>
        <v>0</v>
      </c>
      <c r="H420" s="224">
        <f t="shared" si="106"/>
        <v>0</v>
      </c>
    </row>
    <row r="421" spans="1:10" x14ac:dyDescent="0.2">
      <c r="A421" s="56" t="s">
        <v>104</v>
      </c>
      <c r="B421" s="56" t="s">
        <v>88</v>
      </c>
      <c r="C421" s="57" t="s">
        <v>703</v>
      </c>
      <c r="D421" s="21" t="s">
        <v>225</v>
      </c>
      <c r="E421" s="98" t="s">
        <v>224</v>
      </c>
      <c r="F421" s="224">
        <v>179.3</v>
      </c>
      <c r="G421" s="224">
        <f t="shared" ref="G421:H421" si="107">150-150</f>
        <v>0</v>
      </c>
      <c r="H421" s="224">
        <f t="shared" si="107"/>
        <v>0</v>
      </c>
    </row>
    <row r="422" spans="1:10" s="210" customFormat="1" ht="63.75" x14ac:dyDescent="0.2">
      <c r="A422" s="56" t="s">
        <v>104</v>
      </c>
      <c r="B422" s="56" t="s">
        <v>88</v>
      </c>
      <c r="C422" s="57" t="s">
        <v>823</v>
      </c>
      <c r="D422" s="21"/>
      <c r="E422" s="98" t="s">
        <v>824</v>
      </c>
      <c r="F422" s="224">
        <f>F423</f>
        <v>0</v>
      </c>
      <c r="G422" s="224">
        <f t="shared" ref="G422:H422" si="108">G423</f>
        <v>15</v>
      </c>
      <c r="H422" s="224">
        <f t="shared" si="108"/>
        <v>0</v>
      </c>
    </row>
    <row r="423" spans="1:10" s="210" customFormat="1" x14ac:dyDescent="0.2">
      <c r="A423" s="56" t="s">
        <v>104</v>
      </c>
      <c r="B423" s="56" t="s">
        <v>88</v>
      </c>
      <c r="C423" s="57" t="s">
        <v>823</v>
      </c>
      <c r="D423" s="21" t="s">
        <v>225</v>
      </c>
      <c r="E423" s="98" t="s">
        <v>224</v>
      </c>
      <c r="F423" s="224">
        <v>0</v>
      </c>
      <c r="G423" s="224">
        <v>15</v>
      </c>
      <c r="H423" s="224">
        <v>0</v>
      </c>
    </row>
    <row r="424" spans="1:10" s="216" customFormat="1" ht="63.75" x14ac:dyDescent="0.2">
      <c r="A424" s="56" t="s">
        <v>104</v>
      </c>
      <c r="B424" s="56" t="s">
        <v>88</v>
      </c>
      <c r="C424" s="57" t="s">
        <v>825</v>
      </c>
      <c r="D424" s="21"/>
      <c r="E424" s="98" t="s">
        <v>824</v>
      </c>
      <c r="F424" s="224">
        <f>F425</f>
        <v>0</v>
      </c>
      <c r="G424" s="224">
        <f t="shared" ref="G424:H424" si="109">G425</f>
        <v>1485</v>
      </c>
      <c r="H424" s="224">
        <f t="shared" si="109"/>
        <v>0</v>
      </c>
    </row>
    <row r="425" spans="1:10" s="216" customFormat="1" x14ac:dyDescent="0.2">
      <c r="A425" s="56" t="s">
        <v>104</v>
      </c>
      <c r="B425" s="56" t="s">
        <v>88</v>
      </c>
      <c r="C425" s="57" t="s">
        <v>825</v>
      </c>
      <c r="D425" s="21" t="s">
        <v>225</v>
      </c>
      <c r="E425" s="98" t="s">
        <v>224</v>
      </c>
      <c r="F425" s="224">
        <v>0</v>
      </c>
      <c r="G425" s="224">
        <v>1485</v>
      </c>
      <c r="H425" s="224">
        <v>0</v>
      </c>
    </row>
    <row r="426" spans="1:10" s="37" customFormat="1" ht="14.25" x14ac:dyDescent="0.2">
      <c r="A426" s="35" t="s">
        <v>104</v>
      </c>
      <c r="B426" s="35" t="s">
        <v>89</v>
      </c>
      <c r="C426" s="35"/>
      <c r="D426" s="35"/>
      <c r="E426" s="45" t="s">
        <v>108</v>
      </c>
      <c r="F426" s="222">
        <f>F427+F475</f>
        <v>495371.39999999997</v>
      </c>
      <c r="G426" s="222">
        <f>G427+G475</f>
        <v>481627.1</v>
      </c>
      <c r="H426" s="222">
        <f>H427+H475</f>
        <v>503335.4</v>
      </c>
    </row>
    <row r="427" spans="1:10" s="37" customFormat="1" ht="77.25" x14ac:dyDescent="0.25">
      <c r="A427" s="16" t="s">
        <v>104</v>
      </c>
      <c r="B427" s="16" t="s">
        <v>89</v>
      </c>
      <c r="C427" s="21" t="s">
        <v>73</v>
      </c>
      <c r="D427" s="35"/>
      <c r="E427" s="64" t="s">
        <v>571</v>
      </c>
      <c r="F427" s="231">
        <f t="shared" ref="F427:H427" si="110">F428</f>
        <v>495021.39999999997</v>
      </c>
      <c r="G427" s="231">
        <f t="shared" si="110"/>
        <v>481627.1</v>
      </c>
      <c r="H427" s="231">
        <f t="shared" si="110"/>
        <v>503335.4</v>
      </c>
    </row>
    <row r="428" spans="1:10" s="37" customFormat="1" ht="39.75" customHeight="1" x14ac:dyDescent="0.2">
      <c r="A428" s="47" t="s">
        <v>104</v>
      </c>
      <c r="B428" s="47" t="s">
        <v>89</v>
      </c>
      <c r="C428" s="52" t="s">
        <v>75</v>
      </c>
      <c r="D428" s="21"/>
      <c r="E428" s="46" t="s">
        <v>559</v>
      </c>
      <c r="F428" s="224">
        <f>F429+F431+F433+F435+F441+F443+F445+F437+F439+F447+F449+F451+F453+F455+F457+F459+F461+F463+F465+F467+F469+F471+F473</f>
        <v>495021.39999999997</v>
      </c>
      <c r="G428" s="224">
        <f t="shared" ref="G428:H428" si="111">G429+G431+G433+G435+G441+G443+G445+G437+G439+G447+G449+G451+G453+G455+G457+G459+G461+G463+G465+G467+G469+G471+G473</f>
        <v>481627.1</v>
      </c>
      <c r="H428" s="224">
        <f t="shared" si="111"/>
        <v>503335.4</v>
      </c>
    </row>
    <row r="429" spans="1:10" s="37" customFormat="1" ht="76.5" x14ac:dyDescent="0.2">
      <c r="A429" s="56" t="s">
        <v>104</v>
      </c>
      <c r="B429" s="90" t="s">
        <v>89</v>
      </c>
      <c r="C429" s="82" t="s">
        <v>392</v>
      </c>
      <c r="D429" s="82"/>
      <c r="E429" s="98" t="s">
        <v>391</v>
      </c>
      <c r="F429" s="224">
        <f>F430</f>
        <v>304307.20000000001</v>
      </c>
      <c r="G429" s="224">
        <f>G430</f>
        <v>325234.90000000002</v>
      </c>
      <c r="H429" s="224">
        <f>H430</f>
        <v>343777.5</v>
      </c>
    </row>
    <row r="430" spans="1:10" s="37" customFormat="1" ht="14.25" x14ac:dyDescent="0.2">
      <c r="A430" s="56" t="s">
        <v>104</v>
      </c>
      <c r="B430" s="90" t="s">
        <v>89</v>
      </c>
      <c r="C430" s="57" t="s">
        <v>392</v>
      </c>
      <c r="D430" s="21" t="s">
        <v>225</v>
      </c>
      <c r="E430" s="98" t="s">
        <v>224</v>
      </c>
      <c r="F430" s="220">
        <f>250542.2-2+17608.2+36158.8</f>
        <v>304307.20000000001</v>
      </c>
      <c r="G430" s="220">
        <f>250596.1+0.2+17078.2+57560.4</f>
        <v>325234.90000000002</v>
      </c>
      <c r="H430" s="220">
        <f>250596.1+0.2+17078.2+76103</f>
        <v>343777.5</v>
      </c>
    </row>
    <row r="431" spans="1:10" s="37" customFormat="1" ht="63.75" x14ac:dyDescent="0.2">
      <c r="A431" s="16" t="s">
        <v>104</v>
      </c>
      <c r="B431" s="16" t="s">
        <v>89</v>
      </c>
      <c r="C431" s="57" t="s">
        <v>393</v>
      </c>
      <c r="D431" s="21"/>
      <c r="E431" s="98" t="s">
        <v>286</v>
      </c>
      <c r="F431" s="224">
        <f>F432</f>
        <v>97099.199999999997</v>
      </c>
      <c r="G431" s="224">
        <f>G432</f>
        <v>90572.1</v>
      </c>
      <c r="H431" s="224">
        <f>H432</f>
        <v>90572.1</v>
      </c>
    </row>
    <row r="432" spans="1:10" s="37" customFormat="1" ht="14.25" x14ac:dyDescent="0.2">
      <c r="A432" s="56" t="s">
        <v>104</v>
      </c>
      <c r="B432" s="90" t="s">
        <v>89</v>
      </c>
      <c r="C432" s="57" t="s">
        <v>393</v>
      </c>
      <c r="D432" s="21" t="s">
        <v>225</v>
      </c>
      <c r="E432" s="98" t="s">
        <v>224</v>
      </c>
      <c r="F432" s="224">
        <f>90572.1+3801.7+1686.2+1045.7-6.5</f>
        <v>97099.199999999997</v>
      </c>
      <c r="G432" s="224">
        <v>90572.1</v>
      </c>
      <c r="H432" s="224">
        <v>90572.1</v>
      </c>
      <c r="J432" s="149"/>
    </row>
    <row r="433" spans="1:10" s="37" customFormat="1" ht="63.75" x14ac:dyDescent="0.2">
      <c r="A433" s="56" t="s">
        <v>104</v>
      </c>
      <c r="B433" s="90" t="s">
        <v>89</v>
      </c>
      <c r="C433" s="57" t="s">
        <v>747</v>
      </c>
      <c r="D433" s="21"/>
      <c r="E433" s="98" t="s">
        <v>394</v>
      </c>
      <c r="F433" s="224">
        <f>F434</f>
        <v>29542.400000000001</v>
      </c>
      <c r="G433" s="224">
        <f>G434</f>
        <v>15858.4</v>
      </c>
      <c r="H433" s="224">
        <f>H434</f>
        <v>15858.4</v>
      </c>
    </row>
    <row r="434" spans="1:10" s="37" customFormat="1" ht="14.25" x14ac:dyDescent="0.2">
      <c r="A434" s="16" t="s">
        <v>104</v>
      </c>
      <c r="B434" s="16" t="s">
        <v>89</v>
      </c>
      <c r="C434" s="57" t="s">
        <v>747</v>
      </c>
      <c r="D434" s="21" t="s">
        <v>225</v>
      </c>
      <c r="E434" s="98" t="s">
        <v>224</v>
      </c>
      <c r="F434" s="220">
        <f>15858.4+13684</f>
        <v>29542.400000000001</v>
      </c>
      <c r="G434" s="220">
        <v>15858.4</v>
      </c>
      <c r="H434" s="220">
        <v>15858.4</v>
      </c>
      <c r="J434" s="149"/>
    </row>
    <row r="435" spans="1:10" s="37" customFormat="1" ht="63.75" x14ac:dyDescent="0.2">
      <c r="A435" s="56" t="s">
        <v>104</v>
      </c>
      <c r="B435" s="90" t="s">
        <v>89</v>
      </c>
      <c r="C435" s="57" t="s">
        <v>804</v>
      </c>
      <c r="D435" s="21"/>
      <c r="E435" s="98" t="s">
        <v>803</v>
      </c>
      <c r="F435" s="220">
        <f>F436</f>
        <v>312.5</v>
      </c>
      <c r="G435" s="220">
        <f t="shared" ref="G435:H435" si="112">G436</f>
        <v>0</v>
      </c>
      <c r="H435" s="220">
        <f t="shared" si="112"/>
        <v>0</v>
      </c>
      <c r="J435" s="149"/>
    </row>
    <row r="436" spans="1:10" s="37" customFormat="1" ht="14.25" x14ac:dyDescent="0.2">
      <c r="A436" s="16" t="s">
        <v>104</v>
      </c>
      <c r="B436" s="16" t="s">
        <v>89</v>
      </c>
      <c r="C436" s="57" t="s">
        <v>804</v>
      </c>
      <c r="D436" s="21" t="s">
        <v>225</v>
      </c>
      <c r="E436" s="98" t="s">
        <v>224</v>
      </c>
      <c r="F436" s="220">
        <v>312.5</v>
      </c>
      <c r="G436" s="220">
        <v>0</v>
      </c>
      <c r="H436" s="220">
        <v>0</v>
      </c>
      <c r="J436" s="149"/>
    </row>
    <row r="437" spans="1:10" s="37" customFormat="1" ht="51.75" x14ac:dyDescent="0.25">
      <c r="A437" s="56" t="s">
        <v>104</v>
      </c>
      <c r="B437" s="90" t="s">
        <v>89</v>
      </c>
      <c r="C437" s="205" t="s">
        <v>812</v>
      </c>
      <c r="D437" s="21"/>
      <c r="E437" s="108" t="s">
        <v>813</v>
      </c>
      <c r="F437" s="220">
        <f>F438</f>
        <v>637.5</v>
      </c>
      <c r="G437" s="220">
        <f t="shared" ref="G437:H437" si="113">G438</f>
        <v>0</v>
      </c>
      <c r="H437" s="220">
        <f t="shared" si="113"/>
        <v>0</v>
      </c>
      <c r="J437" s="149"/>
    </row>
    <row r="438" spans="1:10" s="37" customFormat="1" ht="15" x14ac:dyDescent="0.25">
      <c r="A438" s="16" t="s">
        <v>104</v>
      </c>
      <c r="B438" s="16" t="s">
        <v>89</v>
      </c>
      <c r="C438" s="205" t="s">
        <v>812</v>
      </c>
      <c r="D438" s="21" t="s">
        <v>225</v>
      </c>
      <c r="E438" s="98" t="s">
        <v>224</v>
      </c>
      <c r="F438" s="220">
        <v>637.5</v>
      </c>
      <c r="G438" s="220">
        <v>0</v>
      </c>
      <c r="H438" s="220">
        <v>0</v>
      </c>
      <c r="J438" s="149"/>
    </row>
    <row r="439" spans="1:10" s="37" customFormat="1" ht="64.5" x14ac:dyDescent="0.25">
      <c r="A439" s="56" t="s">
        <v>104</v>
      </c>
      <c r="B439" s="90" t="s">
        <v>89</v>
      </c>
      <c r="C439" s="205" t="s">
        <v>814</v>
      </c>
      <c r="D439" s="21"/>
      <c r="E439" s="108" t="s">
        <v>815</v>
      </c>
      <c r="F439" s="220">
        <f>F440</f>
        <v>6.5</v>
      </c>
      <c r="G439" s="220">
        <f t="shared" ref="G439:H439" si="114">G440</f>
        <v>0</v>
      </c>
      <c r="H439" s="220">
        <f t="shared" si="114"/>
        <v>0</v>
      </c>
      <c r="J439" s="149"/>
    </row>
    <row r="440" spans="1:10" s="37" customFormat="1" ht="15" x14ac:dyDescent="0.25">
      <c r="A440" s="56" t="s">
        <v>104</v>
      </c>
      <c r="B440" s="90" t="s">
        <v>89</v>
      </c>
      <c r="C440" s="205" t="s">
        <v>814</v>
      </c>
      <c r="D440" s="21" t="s">
        <v>225</v>
      </c>
      <c r="E440" s="98" t="s">
        <v>224</v>
      </c>
      <c r="F440" s="220">
        <v>6.5</v>
      </c>
      <c r="G440" s="220">
        <v>0</v>
      </c>
      <c r="H440" s="220">
        <v>0</v>
      </c>
      <c r="J440" s="149"/>
    </row>
    <row r="441" spans="1:10" s="37" customFormat="1" ht="51" x14ac:dyDescent="0.2">
      <c r="A441" s="16" t="s">
        <v>104</v>
      </c>
      <c r="B441" s="16" t="s">
        <v>89</v>
      </c>
      <c r="C441" s="57" t="s">
        <v>397</v>
      </c>
      <c r="D441" s="21"/>
      <c r="E441" s="98" t="s">
        <v>398</v>
      </c>
      <c r="F441" s="224">
        <f>F442</f>
        <v>1154</v>
      </c>
      <c r="G441" s="224">
        <f>G442</f>
        <v>0</v>
      </c>
      <c r="H441" s="224">
        <f>H442</f>
        <v>0</v>
      </c>
    </row>
    <row r="442" spans="1:10" s="37" customFormat="1" ht="14.25" x14ac:dyDescent="0.2">
      <c r="A442" s="16" t="s">
        <v>104</v>
      </c>
      <c r="B442" s="16" t="s">
        <v>89</v>
      </c>
      <c r="C442" s="57" t="s">
        <v>397</v>
      </c>
      <c r="D442" s="21" t="s">
        <v>225</v>
      </c>
      <c r="E442" s="98" t="s">
        <v>224</v>
      </c>
      <c r="F442" s="224">
        <f>454+120.2+700-20.2-100</f>
        <v>1154</v>
      </c>
      <c r="G442" s="224">
        <v>0</v>
      </c>
      <c r="H442" s="224">
        <v>0</v>
      </c>
    </row>
    <row r="443" spans="1:10" s="37" customFormat="1" ht="63.75" x14ac:dyDescent="0.2">
      <c r="A443" s="16" t="s">
        <v>104</v>
      </c>
      <c r="B443" s="16" t="s">
        <v>89</v>
      </c>
      <c r="C443" s="57" t="s">
        <v>399</v>
      </c>
      <c r="D443" s="57"/>
      <c r="E443" s="124" t="s">
        <v>400</v>
      </c>
      <c r="F443" s="224">
        <f>F444</f>
        <v>2249.4</v>
      </c>
      <c r="G443" s="224">
        <f>G444</f>
        <v>0</v>
      </c>
      <c r="H443" s="224">
        <f>H444</f>
        <v>0</v>
      </c>
      <c r="J443" s="149"/>
    </row>
    <row r="444" spans="1:10" s="37" customFormat="1" ht="14.25" x14ac:dyDescent="0.2">
      <c r="A444" s="16" t="s">
        <v>104</v>
      </c>
      <c r="B444" s="16" t="s">
        <v>89</v>
      </c>
      <c r="C444" s="57" t="s">
        <v>399</v>
      </c>
      <c r="D444" s="21" t="s">
        <v>225</v>
      </c>
      <c r="E444" s="98" t="s">
        <v>224</v>
      </c>
      <c r="F444" s="224">
        <f>864.7+1036-120.2+369.4+99.5</f>
        <v>2249.4</v>
      </c>
      <c r="G444" s="224">
        <v>0</v>
      </c>
      <c r="H444" s="224">
        <v>0</v>
      </c>
    </row>
    <row r="445" spans="1:10" s="37" customFormat="1" ht="51" x14ac:dyDescent="0.2">
      <c r="A445" s="16" t="s">
        <v>104</v>
      </c>
      <c r="B445" s="16" t="s">
        <v>89</v>
      </c>
      <c r="C445" s="57" t="s">
        <v>609</v>
      </c>
      <c r="D445" s="21"/>
      <c r="E445" s="98" t="s">
        <v>610</v>
      </c>
      <c r="F445" s="224">
        <f>F446</f>
        <v>841.5</v>
      </c>
      <c r="G445" s="224">
        <f t="shared" ref="G445:H445" si="115">G446</f>
        <v>0</v>
      </c>
      <c r="H445" s="224">
        <f t="shared" si="115"/>
        <v>0</v>
      </c>
    </row>
    <row r="446" spans="1:10" s="37" customFormat="1" ht="14.25" x14ac:dyDescent="0.2">
      <c r="A446" s="16" t="s">
        <v>104</v>
      </c>
      <c r="B446" s="16" t="s">
        <v>89</v>
      </c>
      <c r="C446" s="57" t="s">
        <v>609</v>
      </c>
      <c r="D446" s="21" t="s">
        <v>225</v>
      </c>
      <c r="E446" s="98" t="s">
        <v>224</v>
      </c>
      <c r="F446" s="224">
        <f>500+341.5</f>
        <v>841.5</v>
      </c>
      <c r="G446" s="224">
        <v>0</v>
      </c>
      <c r="H446" s="224">
        <v>0</v>
      </c>
    </row>
    <row r="447" spans="1:10" s="37" customFormat="1" ht="63.75" x14ac:dyDescent="0.2">
      <c r="A447" s="16" t="s">
        <v>104</v>
      </c>
      <c r="B447" s="16" t="s">
        <v>89</v>
      </c>
      <c r="C447" s="57" t="s">
        <v>741</v>
      </c>
      <c r="D447" s="21"/>
      <c r="E447" s="98" t="s">
        <v>742</v>
      </c>
      <c r="F447" s="224">
        <f>F448</f>
        <v>1000</v>
      </c>
      <c r="G447" s="224">
        <f t="shared" ref="G447:H447" si="116">G448</f>
        <v>0</v>
      </c>
      <c r="H447" s="224">
        <f t="shared" si="116"/>
        <v>0</v>
      </c>
    </row>
    <row r="448" spans="1:10" s="37" customFormat="1" ht="14.25" x14ac:dyDescent="0.2">
      <c r="A448" s="16" t="s">
        <v>104</v>
      </c>
      <c r="B448" s="16" t="s">
        <v>89</v>
      </c>
      <c r="C448" s="57" t="s">
        <v>741</v>
      </c>
      <c r="D448" s="21" t="s">
        <v>225</v>
      </c>
      <c r="E448" s="98" t="s">
        <v>224</v>
      </c>
      <c r="F448" s="224">
        <v>1000</v>
      </c>
      <c r="G448" s="224">
        <v>0</v>
      </c>
      <c r="H448" s="224">
        <v>0</v>
      </c>
    </row>
    <row r="449" spans="1:10" s="37" customFormat="1" ht="38.25" x14ac:dyDescent="0.2">
      <c r="A449" s="16" t="s">
        <v>104</v>
      </c>
      <c r="B449" s="16" t="s">
        <v>89</v>
      </c>
      <c r="C449" s="57" t="s">
        <v>402</v>
      </c>
      <c r="D449" s="21"/>
      <c r="E449" s="98" t="s">
        <v>307</v>
      </c>
      <c r="F449" s="224">
        <f>F450</f>
        <v>5242.3</v>
      </c>
      <c r="G449" s="224">
        <f>G450</f>
        <v>5242.3</v>
      </c>
      <c r="H449" s="224">
        <f>H450</f>
        <v>5242.3</v>
      </c>
    </row>
    <row r="450" spans="1:10" s="37" customFormat="1" ht="14.25" x14ac:dyDescent="0.2">
      <c r="A450" s="16" t="s">
        <v>104</v>
      </c>
      <c r="B450" s="16" t="s">
        <v>89</v>
      </c>
      <c r="C450" s="57" t="s">
        <v>402</v>
      </c>
      <c r="D450" s="21" t="s">
        <v>225</v>
      </c>
      <c r="E450" s="98" t="s">
        <v>224</v>
      </c>
      <c r="F450" s="220">
        <v>5242.3</v>
      </c>
      <c r="G450" s="220">
        <v>5242.3</v>
      </c>
      <c r="H450" s="220">
        <v>5242.3</v>
      </c>
    </row>
    <row r="451" spans="1:10" s="37" customFormat="1" ht="76.5" x14ac:dyDescent="0.2">
      <c r="A451" s="16" t="s">
        <v>104</v>
      </c>
      <c r="B451" s="16" t="s">
        <v>89</v>
      </c>
      <c r="C451" s="21" t="s">
        <v>403</v>
      </c>
      <c r="D451" s="21"/>
      <c r="E451" s="98" t="s">
        <v>135</v>
      </c>
      <c r="F451" s="224">
        <f>F452</f>
        <v>21321.5</v>
      </c>
      <c r="G451" s="224">
        <f>G452</f>
        <v>23166.799999999999</v>
      </c>
      <c r="H451" s="224">
        <f>H452</f>
        <v>21321.5</v>
      </c>
    </row>
    <row r="452" spans="1:10" s="37" customFormat="1" ht="14.25" x14ac:dyDescent="0.2">
      <c r="A452" s="82" t="s">
        <v>104</v>
      </c>
      <c r="B452" s="16" t="s">
        <v>89</v>
      </c>
      <c r="C452" s="21" t="s">
        <v>403</v>
      </c>
      <c r="D452" s="21" t="s">
        <v>225</v>
      </c>
      <c r="E452" s="98" t="s">
        <v>224</v>
      </c>
      <c r="F452" s="224">
        <v>21321.5</v>
      </c>
      <c r="G452" s="224">
        <f>21321.5+1845.3</f>
        <v>23166.799999999999</v>
      </c>
      <c r="H452" s="224">
        <v>21321.5</v>
      </c>
      <c r="J452" s="149"/>
    </row>
    <row r="453" spans="1:10" s="37" customFormat="1" ht="76.5" customHeight="1" x14ac:dyDescent="0.2">
      <c r="A453" s="16" t="s">
        <v>104</v>
      </c>
      <c r="B453" s="16" t="s">
        <v>89</v>
      </c>
      <c r="C453" s="21" t="s">
        <v>404</v>
      </c>
      <c r="D453" s="21"/>
      <c r="E453" s="98" t="s">
        <v>569</v>
      </c>
      <c r="F453" s="224">
        <f>F454</f>
        <v>215.9</v>
      </c>
      <c r="G453" s="224">
        <f>G454</f>
        <v>59.900000000000006</v>
      </c>
      <c r="H453" s="224">
        <f>H454</f>
        <v>0</v>
      </c>
    </row>
    <row r="454" spans="1:10" s="37" customFormat="1" ht="14.25" x14ac:dyDescent="0.2">
      <c r="A454" s="16" t="s">
        <v>104</v>
      </c>
      <c r="B454" s="16" t="s">
        <v>89</v>
      </c>
      <c r="C454" s="21" t="s">
        <v>404</v>
      </c>
      <c r="D454" s="21" t="s">
        <v>225</v>
      </c>
      <c r="E454" s="98" t="s">
        <v>224</v>
      </c>
      <c r="F454" s="113">
        <f>240-24.1</f>
        <v>215.9</v>
      </c>
      <c r="G454" s="113">
        <f>74.9-15</f>
        <v>59.900000000000006</v>
      </c>
      <c r="H454" s="113">
        <v>0</v>
      </c>
    </row>
    <row r="455" spans="1:10" s="37" customFormat="1" ht="63.75" x14ac:dyDescent="0.2">
      <c r="A455" s="16" t="s">
        <v>104</v>
      </c>
      <c r="B455" s="16" t="s">
        <v>89</v>
      </c>
      <c r="C455" s="21" t="s">
        <v>643</v>
      </c>
      <c r="D455" s="82"/>
      <c r="E455" s="55" t="s">
        <v>371</v>
      </c>
      <c r="F455" s="113">
        <f>F456</f>
        <v>19143.3</v>
      </c>
      <c r="G455" s="113">
        <f t="shared" ref="G455:H455" si="117">G456</f>
        <v>18674.599999999999</v>
      </c>
      <c r="H455" s="113">
        <f t="shared" si="117"/>
        <v>18296.400000000001</v>
      </c>
    </row>
    <row r="456" spans="1:10" s="37" customFormat="1" ht="14.25" x14ac:dyDescent="0.2">
      <c r="A456" s="16" t="s">
        <v>104</v>
      </c>
      <c r="B456" s="16" t="s">
        <v>89</v>
      </c>
      <c r="C456" s="21" t="s">
        <v>643</v>
      </c>
      <c r="D456" s="21" t="s">
        <v>225</v>
      </c>
      <c r="E456" s="98" t="s">
        <v>224</v>
      </c>
      <c r="F456" s="220">
        <v>19143.3</v>
      </c>
      <c r="G456" s="220">
        <v>18674.599999999999</v>
      </c>
      <c r="H456" s="220">
        <v>18296.400000000001</v>
      </c>
    </row>
    <row r="457" spans="1:10" s="37" customFormat="1" ht="63.75" x14ac:dyDescent="0.2">
      <c r="A457" s="16" t="s">
        <v>104</v>
      </c>
      <c r="B457" s="16" t="s">
        <v>89</v>
      </c>
      <c r="C457" s="21" t="s">
        <v>550</v>
      </c>
      <c r="D457" s="21"/>
      <c r="E457" s="98" t="s">
        <v>551</v>
      </c>
      <c r="F457" s="113">
        <f>F458</f>
        <v>5052.5</v>
      </c>
      <c r="G457" s="113">
        <f t="shared" ref="G457:H459" si="118">G458</f>
        <v>0</v>
      </c>
      <c r="H457" s="113">
        <f t="shared" si="118"/>
        <v>4912.8</v>
      </c>
    </row>
    <row r="458" spans="1:10" s="37" customFormat="1" ht="14.25" x14ac:dyDescent="0.2">
      <c r="A458" s="16" t="s">
        <v>104</v>
      </c>
      <c r="B458" s="16" t="s">
        <v>89</v>
      </c>
      <c r="C458" s="21" t="s">
        <v>550</v>
      </c>
      <c r="D458" s="21" t="s">
        <v>225</v>
      </c>
      <c r="E458" s="98" t="s">
        <v>224</v>
      </c>
      <c r="F458" s="113">
        <f>5252.5-200</f>
        <v>5052.5</v>
      </c>
      <c r="G458" s="113">
        <v>0</v>
      </c>
      <c r="H458" s="113">
        <v>4912.8</v>
      </c>
    </row>
    <row r="459" spans="1:10" s="37" customFormat="1" ht="76.5" x14ac:dyDescent="0.2">
      <c r="A459" s="16" t="s">
        <v>104</v>
      </c>
      <c r="B459" s="16" t="s">
        <v>89</v>
      </c>
      <c r="C459" s="21" t="s">
        <v>777</v>
      </c>
      <c r="D459" s="21"/>
      <c r="E459" s="98" t="s">
        <v>778</v>
      </c>
      <c r="F459" s="113">
        <f>F460</f>
        <v>682.6</v>
      </c>
      <c r="G459" s="113">
        <f t="shared" si="118"/>
        <v>0</v>
      </c>
      <c r="H459" s="113">
        <f t="shared" si="118"/>
        <v>0</v>
      </c>
    </row>
    <row r="460" spans="1:10" s="37" customFormat="1" ht="14.25" x14ac:dyDescent="0.2">
      <c r="A460" s="16" t="s">
        <v>104</v>
      </c>
      <c r="B460" s="16" t="s">
        <v>89</v>
      </c>
      <c r="C460" s="21" t="s">
        <v>777</v>
      </c>
      <c r="D460" s="21" t="s">
        <v>225</v>
      </c>
      <c r="E460" s="98" t="s">
        <v>224</v>
      </c>
      <c r="F460" s="113">
        <f>200+24.1+458.5</f>
        <v>682.6</v>
      </c>
      <c r="G460" s="113">
        <v>0</v>
      </c>
      <c r="H460" s="113">
        <v>0</v>
      </c>
    </row>
    <row r="461" spans="1:10" s="37" customFormat="1" ht="48.75" customHeight="1" x14ac:dyDescent="0.2">
      <c r="A461" s="16" t="s">
        <v>104</v>
      </c>
      <c r="B461" s="16" t="s">
        <v>89</v>
      </c>
      <c r="C461" s="57" t="s">
        <v>677</v>
      </c>
      <c r="D461" s="21"/>
      <c r="E461" s="97" t="s">
        <v>678</v>
      </c>
      <c r="F461" s="113">
        <f>F462</f>
        <v>0</v>
      </c>
      <c r="G461" s="113">
        <f>G462</f>
        <v>250</v>
      </c>
      <c r="H461" s="113">
        <f>H462</f>
        <v>250</v>
      </c>
    </row>
    <row r="462" spans="1:10" s="37" customFormat="1" ht="14.25" x14ac:dyDescent="0.2">
      <c r="A462" s="16" t="s">
        <v>104</v>
      </c>
      <c r="B462" s="16" t="s">
        <v>89</v>
      </c>
      <c r="C462" s="57" t="s">
        <v>677</v>
      </c>
      <c r="D462" s="21" t="s">
        <v>225</v>
      </c>
      <c r="E462" s="98" t="s">
        <v>224</v>
      </c>
      <c r="F462" s="113">
        <v>0</v>
      </c>
      <c r="G462" s="113">
        <v>250</v>
      </c>
      <c r="H462" s="113">
        <v>250</v>
      </c>
    </row>
    <row r="463" spans="1:10" s="37" customFormat="1" ht="51" x14ac:dyDescent="0.2">
      <c r="A463" s="16" t="s">
        <v>104</v>
      </c>
      <c r="B463" s="16" t="s">
        <v>89</v>
      </c>
      <c r="C463" s="57" t="s">
        <v>712</v>
      </c>
      <c r="D463" s="21"/>
      <c r="E463" s="97" t="s">
        <v>714</v>
      </c>
      <c r="F463" s="113">
        <f>F464</f>
        <v>208.1</v>
      </c>
      <c r="G463" s="113">
        <f t="shared" ref="G463:H463" si="119">G464</f>
        <v>0</v>
      </c>
      <c r="H463" s="113">
        <f t="shared" si="119"/>
        <v>0</v>
      </c>
    </row>
    <row r="464" spans="1:10" s="37" customFormat="1" ht="14.25" x14ac:dyDescent="0.2">
      <c r="A464" s="16" t="s">
        <v>104</v>
      </c>
      <c r="B464" s="16" t="s">
        <v>89</v>
      </c>
      <c r="C464" s="57" t="s">
        <v>712</v>
      </c>
      <c r="D464" s="21" t="s">
        <v>225</v>
      </c>
      <c r="E464" s="98" t="s">
        <v>224</v>
      </c>
      <c r="F464" s="113">
        <f>125+90-6.9</f>
        <v>208.1</v>
      </c>
      <c r="G464" s="113">
        <v>0</v>
      </c>
      <c r="H464" s="113">
        <v>0</v>
      </c>
    </row>
    <row r="465" spans="1:11" s="37" customFormat="1" ht="38.25" x14ac:dyDescent="0.2">
      <c r="A465" s="16" t="s">
        <v>104</v>
      </c>
      <c r="B465" s="16" t="s">
        <v>89</v>
      </c>
      <c r="C465" s="57" t="s">
        <v>713</v>
      </c>
      <c r="D465" s="21"/>
      <c r="E465" s="97" t="s">
        <v>743</v>
      </c>
      <c r="F465" s="113">
        <f>F466</f>
        <v>215</v>
      </c>
      <c r="G465" s="113">
        <f t="shared" ref="G465:H465" si="120">G466</f>
        <v>0</v>
      </c>
      <c r="H465" s="113">
        <f t="shared" si="120"/>
        <v>0</v>
      </c>
    </row>
    <row r="466" spans="1:11" s="37" customFormat="1" ht="14.25" x14ac:dyDescent="0.2">
      <c r="A466" s="16" t="s">
        <v>104</v>
      </c>
      <c r="B466" s="16" t="s">
        <v>89</v>
      </c>
      <c r="C466" s="57" t="s">
        <v>713</v>
      </c>
      <c r="D466" s="21" t="s">
        <v>225</v>
      </c>
      <c r="E466" s="98" t="s">
        <v>224</v>
      </c>
      <c r="F466" s="113">
        <f>125+90</f>
        <v>215</v>
      </c>
      <c r="G466" s="113">
        <v>0</v>
      </c>
      <c r="H466" s="113">
        <v>0</v>
      </c>
    </row>
    <row r="467" spans="1:11" s="37" customFormat="1" ht="51" x14ac:dyDescent="0.2">
      <c r="A467" s="16" t="s">
        <v>104</v>
      </c>
      <c r="B467" s="16" t="s">
        <v>89</v>
      </c>
      <c r="C467" s="57" t="s">
        <v>739</v>
      </c>
      <c r="D467" s="21"/>
      <c r="E467" s="97" t="s">
        <v>714</v>
      </c>
      <c r="F467" s="113">
        <f>F468</f>
        <v>377.5</v>
      </c>
      <c r="G467" s="113">
        <f t="shared" ref="G467:H467" si="121">G468</f>
        <v>0</v>
      </c>
      <c r="H467" s="113">
        <f t="shared" si="121"/>
        <v>0</v>
      </c>
    </row>
    <row r="468" spans="1:11" s="37" customFormat="1" ht="14.25" x14ac:dyDescent="0.2">
      <c r="A468" s="16" t="s">
        <v>104</v>
      </c>
      <c r="B468" s="16" t="s">
        <v>89</v>
      </c>
      <c r="C468" s="57" t="s">
        <v>739</v>
      </c>
      <c r="D468" s="21" t="s">
        <v>225</v>
      </c>
      <c r="E468" s="98" t="s">
        <v>224</v>
      </c>
      <c r="F468" s="113">
        <v>377.5</v>
      </c>
      <c r="G468" s="113">
        <v>0</v>
      </c>
      <c r="H468" s="113">
        <v>0</v>
      </c>
    </row>
    <row r="469" spans="1:11" s="37" customFormat="1" ht="38.25" x14ac:dyDescent="0.2">
      <c r="A469" s="16" t="s">
        <v>104</v>
      </c>
      <c r="B469" s="16" t="s">
        <v>89</v>
      </c>
      <c r="C469" s="57" t="s">
        <v>740</v>
      </c>
      <c r="D469" s="21"/>
      <c r="E469" s="97" t="s">
        <v>743</v>
      </c>
      <c r="F469" s="113">
        <f>F470</f>
        <v>303.60000000000002</v>
      </c>
      <c r="G469" s="113">
        <f t="shared" ref="G469:H469" si="122">G470</f>
        <v>0</v>
      </c>
      <c r="H469" s="113">
        <f t="shared" si="122"/>
        <v>0</v>
      </c>
      <c r="K469" s="149"/>
    </row>
    <row r="470" spans="1:11" s="37" customFormat="1" ht="14.25" x14ac:dyDescent="0.2">
      <c r="A470" s="16" t="s">
        <v>104</v>
      </c>
      <c r="B470" s="16" t="s">
        <v>89</v>
      </c>
      <c r="C470" s="57" t="s">
        <v>740</v>
      </c>
      <c r="D470" s="21" t="s">
        <v>225</v>
      </c>
      <c r="E470" s="98" t="s">
        <v>224</v>
      </c>
      <c r="F470" s="113">
        <v>303.60000000000002</v>
      </c>
      <c r="G470" s="113">
        <v>0</v>
      </c>
      <c r="H470" s="113">
        <v>0</v>
      </c>
    </row>
    <row r="471" spans="1:11" s="37" customFormat="1" ht="63.75" x14ac:dyDescent="0.2">
      <c r="A471" s="56" t="s">
        <v>104</v>
      </c>
      <c r="B471" s="90" t="s">
        <v>89</v>
      </c>
      <c r="C471" s="57" t="s">
        <v>650</v>
      </c>
      <c r="D471" s="21"/>
      <c r="E471" s="98" t="s">
        <v>651</v>
      </c>
      <c r="F471" s="220">
        <f>F472</f>
        <v>2568.1</v>
      </c>
      <c r="G471" s="220">
        <f t="shared" ref="G471:H471" si="123">G472</f>
        <v>2568.1</v>
      </c>
      <c r="H471" s="220">
        <f t="shared" si="123"/>
        <v>3104.3999999999996</v>
      </c>
    </row>
    <row r="472" spans="1:11" s="37" customFormat="1" ht="14.25" x14ac:dyDescent="0.2">
      <c r="A472" s="16" t="s">
        <v>104</v>
      </c>
      <c r="B472" s="16" t="s">
        <v>89</v>
      </c>
      <c r="C472" s="57" t="s">
        <v>650</v>
      </c>
      <c r="D472" s="21" t="s">
        <v>225</v>
      </c>
      <c r="E472" s="98" t="s">
        <v>224</v>
      </c>
      <c r="F472" s="220">
        <f>2567.6+0.5</f>
        <v>2568.1</v>
      </c>
      <c r="G472" s="220">
        <f>2567.6+0.5</f>
        <v>2568.1</v>
      </c>
      <c r="H472" s="220">
        <f>2567.6+536.8</f>
        <v>3104.3999999999996</v>
      </c>
    </row>
    <row r="473" spans="1:11" s="37" customFormat="1" ht="89.25" x14ac:dyDescent="0.2">
      <c r="A473" s="16" t="s">
        <v>104</v>
      </c>
      <c r="B473" s="16" t="s">
        <v>89</v>
      </c>
      <c r="C473" s="57" t="s">
        <v>695</v>
      </c>
      <c r="D473" s="21"/>
      <c r="E473" s="98" t="s">
        <v>705</v>
      </c>
      <c r="F473" s="220">
        <f>F474</f>
        <v>2540.8000000000002</v>
      </c>
      <c r="G473" s="220">
        <f t="shared" ref="G473:H473" si="124">G474</f>
        <v>0</v>
      </c>
      <c r="H473" s="220">
        <f t="shared" si="124"/>
        <v>0</v>
      </c>
    </row>
    <row r="474" spans="1:11" s="37" customFormat="1" ht="14.25" x14ac:dyDescent="0.2">
      <c r="A474" s="56" t="s">
        <v>104</v>
      </c>
      <c r="B474" s="90" t="s">
        <v>89</v>
      </c>
      <c r="C474" s="57" t="s">
        <v>695</v>
      </c>
      <c r="D474" s="21" t="s">
        <v>225</v>
      </c>
      <c r="E474" s="98" t="s">
        <v>224</v>
      </c>
      <c r="F474" s="220">
        <f>25.8+2515</f>
        <v>2540.8000000000002</v>
      </c>
      <c r="G474" s="220">
        <v>0</v>
      </c>
      <c r="H474" s="220">
        <v>0</v>
      </c>
    </row>
    <row r="475" spans="1:11" s="37" customFormat="1" ht="38.25" x14ac:dyDescent="0.2">
      <c r="A475" s="16" t="s">
        <v>104</v>
      </c>
      <c r="B475" s="16" t="s">
        <v>89</v>
      </c>
      <c r="C475" s="82" t="s">
        <v>24</v>
      </c>
      <c r="D475" s="82"/>
      <c r="E475" s="99" t="s">
        <v>38</v>
      </c>
      <c r="F475" s="113">
        <f>F476</f>
        <v>350</v>
      </c>
      <c r="G475" s="113">
        <f t="shared" ref="G475:H475" si="125">G476</f>
        <v>0</v>
      </c>
      <c r="H475" s="113">
        <f t="shared" si="125"/>
        <v>0</v>
      </c>
    </row>
    <row r="476" spans="1:11" s="37" customFormat="1" ht="51" x14ac:dyDescent="0.2">
      <c r="A476" s="16" t="s">
        <v>104</v>
      </c>
      <c r="B476" s="16" t="s">
        <v>89</v>
      </c>
      <c r="C476" s="82" t="s">
        <v>568</v>
      </c>
      <c r="D476" s="16"/>
      <c r="E476" s="54" t="s">
        <v>566</v>
      </c>
      <c r="F476" s="113">
        <f>SUM(F477:F477)</f>
        <v>350</v>
      </c>
      <c r="G476" s="113">
        <f>SUM(G477:G477)</f>
        <v>0</v>
      </c>
      <c r="H476" s="113">
        <f>SUM(H477:H477)</f>
        <v>0</v>
      </c>
    </row>
    <row r="477" spans="1:11" s="37" customFormat="1" ht="14.25" x14ac:dyDescent="0.2">
      <c r="A477" s="16" t="s">
        <v>104</v>
      </c>
      <c r="B477" s="16" t="s">
        <v>89</v>
      </c>
      <c r="C477" s="82" t="s">
        <v>568</v>
      </c>
      <c r="D477" s="21" t="s">
        <v>225</v>
      </c>
      <c r="E477" s="98" t="s">
        <v>224</v>
      </c>
      <c r="F477" s="220">
        <v>350</v>
      </c>
      <c r="G477" s="220">
        <v>0</v>
      </c>
      <c r="H477" s="220">
        <v>0</v>
      </c>
    </row>
    <row r="478" spans="1:11" s="37" customFormat="1" ht="14.25" x14ac:dyDescent="0.2">
      <c r="A478" s="35" t="s">
        <v>104</v>
      </c>
      <c r="B478" s="35" t="s">
        <v>93</v>
      </c>
      <c r="C478" s="35"/>
      <c r="D478" s="35"/>
      <c r="E478" s="46" t="s">
        <v>156</v>
      </c>
      <c r="F478" s="222">
        <f>F479+F502+F516</f>
        <v>77431.399999999994</v>
      </c>
      <c r="G478" s="222">
        <f>G479+G502+G516</f>
        <v>78505.399999999994</v>
      </c>
      <c r="H478" s="222">
        <f>H479+H502+H516</f>
        <v>81871.8</v>
      </c>
    </row>
    <row r="479" spans="1:11" s="37" customFormat="1" ht="76.5" x14ac:dyDescent="0.2">
      <c r="A479" s="5" t="s">
        <v>104</v>
      </c>
      <c r="B479" s="5" t="s">
        <v>93</v>
      </c>
      <c r="C479" s="73" t="s">
        <v>73</v>
      </c>
      <c r="D479" s="21"/>
      <c r="E479" s="64" t="s">
        <v>571</v>
      </c>
      <c r="F479" s="230">
        <f>F480+F499</f>
        <v>56262.1</v>
      </c>
      <c r="G479" s="230">
        <f>G480+G499</f>
        <v>57590.6</v>
      </c>
      <c r="H479" s="230">
        <f>H480+H499</f>
        <v>59864.4</v>
      </c>
    </row>
    <row r="480" spans="1:11" s="37" customFormat="1" ht="38.25" x14ac:dyDescent="0.2">
      <c r="A480" s="16" t="s">
        <v>104</v>
      </c>
      <c r="B480" s="82" t="s">
        <v>93</v>
      </c>
      <c r="C480" s="52" t="s">
        <v>410</v>
      </c>
      <c r="D480" s="35"/>
      <c r="E480" s="46" t="s">
        <v>411</v>
      </c>
      <c r="F480" s="224">
        <f>F481+F483+F485+F487+F489+F491+F493+F495+F497</f>
        <v>56212.1</v>
      </c>
      <c r="G480" s="224">
        <f>G481+G483+G485+G487+G489+G491+G493+G495+G497</f>
        <v>57540.6</v>
      </c>
      <c r="H480" s="224">
        <f>H481+H483+H485+H487+H489+H491+H493+H495+H497</f>
        <v>59814.400000000001</v>
      </c>
    </row>
    <row r="481" spans="1:13" s="37" customFormat="1" ht="76.5" x14ac:dyDescent="0.2">
      <c r="A481" s="16" t="s">
        <v>104</v>
      </c>
      <c r="B481" s="82" t="s">
        <v>93</v>
      </c>
      <c r="C481" s="57" t="s">
        <v>414</v>
      </c>
      <c r="D481" s="16"/>
      <c r="E481" s="98" t="s">
        <v>413</v>
      </c>
      <c r="F481" s="224">
        <f>F482</f>
        <v>28869.199999999997</v>
      </c>
      <c r="G481" s="224">
        <f>SUM(G482:G482)</f>
        <v>36709.5</v>
      </c>
      <c r="H481" s="224">
        <f>SUM(H482:H482)</f>
        <v>36709.5</v>
      </c>
      <c r="J481" s="149"/>
      <c r="K481" s="149"/>
    </row>
    <row r="482" spans="1:13" s="37" customFormat="1" ht="14.25" x14ac:dyDescent="0.2">
      <c r="A482" s="16" t="s">
        <v>104</v>
      </c>
      <c r="B482" s="82" t="s">
        <v>93</v>
      </c>
      <c r="C482" s="57" t="s">
        <v>414</v>
      </c>
      <c r="D482" s="21" t="s">
        <v>225</v>
      </c>
      <c r="E482" s="98" t="s">
        <v>224</v>
      </c>
      <c r="F482" s="224">
        <f>36709.5-11516.9+950.4-54.7+717.3+2066-2.4</f>
        <v>28869.199999999997</v>
      </c>
      <c r="G482" s="224">
        <v>36709.5</v>
      </c>
      <c r="H482" s="224">
        <v>36709.5</v>
      </c>
    </row>
    <row r="483" spans="1:13" s="37" customFormat="1" ht="51" x14ac:dyDescent="0.2">
      <c r="A483" s="16" t="s">
        <v>104</v>
      </c>
      <c r="B483" s="82" t="s">
        <v>93</v>
      </c>
      <c r="C483" s="57" t="s">
        <v>697</v>
      </c>
      <c r="D483" s="21"/>
      <c r="E483" s="98" t="s">
        <v>698</v>
      </c>
      <c r="F483" s="224">
        <f>SUM(F484:F484)</f>
        <v>8733.6</v>
      </c>
      <c r="G483" s="224">
        <f>SUM(G484:G484)</f>
        <v>0</v>
      </c>
      <c r="H483" s="224">
        <f>SUM(H484:H484)</f>
        <v>0</v>
      </c>
    </row>
    <row r="484" spans="1:13" s="37" customFormat="1" ht="14.25" x14ac:dyDescent="0.2">
      <c r="A484" s="16" t="s">
        <v>104</v>
      </c>
      <c r="B484" s="82" t="s">
        <v>93</v>
      </c>
      <c r="C484" s="57" t="s">
        <v>697</v>
      </c>
      <c r="D484" s="21" t="s">
        <v>225</v>
      </c>
      <c r="E484" s="98" t="s">
        <v>224</v>
      </c>
      <c r="F484" s="224">
        <f>10799.6+179.3-2066-179.3</f>
        <v>8733.6</v>
      </c>
      <c r="G484" s="224">
        <v>0</v>
      </c>
      <c r="H484" s="224">
        <v>0</v>
      </c>
    </row>
    <row r="485" spans="1:13" s="37" customFormat="1" ht="76.5" x14ac:dyDescent="0.2">
      <c r="A485" s="16" t="s">
        <v>104</v>
      </c>
      <c r="B485" s="82" t="s">
        <v>93</v>
      </c>
      <c r="C485" s="57" t="s">
        <v>416</v>
      </c>
      <c r="D485" s="21"/>
      <c r="E485" s="98" t="s">
        <v>417</v>
      </c>
      <c r="F485" s="224">
        <f>F486</f>
        <v>16991.8</v>
      </c>
      <c r="G485" s="224">
        <f>G486</f>
        <v>19508</v>
      </c>
      <c r="H485" s="224">
        <f>H486</f>
        <v>21781.8</v>
      </c>
      <c r="K485" s="149"/>
      <c r="L485" s="149"/>
      <c r="M485" s="149"/>
    </row>
    <row r="486" spans="1:13" s="37" customFormat="1" ht="14.25" x14ac:dyDescent="0.2">
      <c r="A486" s="16" t="s">
        <v>104</v>
      </c>
      <c r="B486" s="82" t="s">
        <v>93</v>
      </c>
      <c r="C486" s="57" t="s">
        <v>416</v>
      </c>
      <c r="D486" s="21" t="s">
        <v>225</v>
      </c>
      <c r="E486" s="98" t="s">
        <v>224</v>
      </c>
      <c r="F486" s="232">
        <f>12678.4+635.3+3678.1</f>
        <v>16991.8</v>
      </c>
      <c r="G486" s="232">
        <f>12678.4+635.3+6194.3</f>
        <v>19508</v>
      </c>
      <c r="H486" s="232">
        <f>12678.4+635.3+8468.1</f>
        <v>21781.8</v>
      </c>
    </row>
    <row r="487" spans="1:13" s="37" customFormat="1" ht="76.5" x14ac:dyDescent="0.2">
      <c r="A487" s="16" t="s">
        <v>104</v>
      </c>
      <c r="B487" s="82" t="s">
        <v>93</v>
      </c>
      <c r="C487" s="57" t="s">
        <v>418</v>
      </c>
      <c r="D487" s="57"/>
      <c r="E487" s="98" t="s">
        <v>419</v>
      </c>
      <c r="F487" s="220">
        <f>F488</f>
        <v>182.8</v>
      </c>
      <c r="G487" s="220">
        <f>G488</f>
        <v>128.1</v>
      </c>
      <c r="H487" s="220">
        <f>H488</f>
        <v>128.1</v>
      </c>
      <c r="J487" s="149"/>
    </row>
    <row r="488" spans="1:13" s="37" customFormat="1" ht="14.25" x14ac:dyDescent="0.2">
      <c r="A488" s="16" t="s">
        <v>104</v>
      </c>
      <c r="B488" s="82" t="s">
        <v>93</v>
      </c>
      <c r="C488" s="21" t="s">
        <v>418</v>
      </c>
      <c r="D488" s="21" t="s">
        <v>225</v>
      </c>
      <c r="E488" s="98" t="s">
        <v>224</v>
      </c>
      <c r="F488" s="113">
        <f>128.1+54.7</f>
        <v>182.8</v>
      </c>
      <c r="G488" s="113">
        <v>128.1</v>
      </c>
      <c r="H488" s="113">
        <v>128.1</v>
      </c>
    </row>
    <row r="489" spans="1:13" s="37" customFormat="1" ht="63.75" x14ac:dyDescent="0.2">
      <c r="A489" s="16" t="s">
        <v>104</v>
      </c>
      <c r="B489" s="82" t="s">
        <v>93</v>
      </c>
      <c r="C489" s="21" t="s">
        <v>816</v>
      </c>
      <c r="D489" s="21"/>
      <c r="E489" s="108" t="s">
        <v>817</v>
      </c>
      <c r="F489" s="113">
        <f>F490</f>
        <v>237.3</v>
      </c>
      <c r="G489" s="113">
        <f t="shared" ref="G489:H489" si="126">G490</f>
        <v>0</v>
      </c>
      <c r="H489" s="113">
        <f t="shared" si="126"/>
        <v>0</v>
      </c>
    </row>
    <row r="490" spans="1:13" s="37" customFormat="1" ht="14.25" x14ac:dyDescent="0.2">
      <c r="A490" s="16" t="s">
        <v>104</v>
      </c>
      <c r="B490" s="82" t="s">
        <v>93</v>
      </c>
      <c r="C490" s="21" t="s">
        <v>816</v>
      </c>
      <c r="D490" s="21" t="s">
        <v>225</v>
      </c>
      <c r="E490" s="98" t="s">
        <v>224</v>
      </c>
      <c r="F490" s="113">
        <v>237.3</v>
      </c>
      <c r="G490" s="113">
        <v>0</v>
      </c>
      <c r="H490" s="113">
        <v>0</v>
      </c>
    </row>
    <row r="491" spans="1:13" s="37" customFormat="1" ht="76.5" x14ac:dyDescent="0.2">
      <c r="A491" s="16" t="s">
        <v>104</v>
      </c>
      <c r="B491" s="82" t="s">
        <v>93</v>
      </c>
      <c r="C491" s="21" t="s">
        <v>818</v>
      </c>
      <c r="D491" s="21"/>
      <c r="E491" s="108" t="s">
        <v>819</v>
      </c>
      <c r="F491" s="113">
        <f>F492</f>
        <v>2.4</v>
      </c>
      <c r="G491" s="113">
        <f t="shared" ref="G491:H491" si="127">G492</f>
        <v>0</v>
      </c>
      <c r="H491" s="113">
        <f t="shared" si="127"/>
        <v>0</v>
      </c>
    </row>
    <row r="492" spans="1:13" s="37" customFormat="1" ht="14.25" x14ac:dyDescent="0.2">
      <c r="A492" s="16" t="s">
        <v>104</v>
      </c>
      <c r="B492" s="82" t="s">
        <v>93</v>
      </c>
      <c r="C492" s="21" t="s">
        <v>818</v>
      </c>
      <c r="D492" s="21" t="s">
        <v>225</v>
      </c>
      <c r="E492" s="98" t="s">
        <v>224</v>
      </c>
      <c r="F492" s="113">
        <v>2.4</v>
      </c>
      <c r="G492" s="113">
        <v>0</v>
      </c>
      <c r="H492" s="113">
        <v>0</v>
      </c>
    </row>
    <row r="493" spans="1:13" s="37" customFormat="1" ht="51" x14ac:dyDescent="0.2">
      <c r="A493" s="16" t="s">
        <v>104</v>
      </c>
      <c r="B493" s="82" t="s">
        <v>93</v>
      </c>
      <c r="C493" s="57" t="s">
        <v>558</v>
      </c>
      <c r="D493" s="21"/>
      <c r="E493" s="108" t="s">
        <v>422</v>
      </c>
      <c r="F493" s="224">
        <f>F494</f>
        <v>795</v>
      </c>
      <c r="G493" s="224">
        <f t="shared" ref="G493:H493" si="128">G494</f>
        <v>795</v>
      </c>
      <c r="H493" s="224">
        <f t="shared" si="128"/>
        <v>795</v>
      </c>
      <c r="J493" s="149"/>
    </row>
    <row r="494" spans="1:13" s="37" customFormat="1" ht="14.25" x14ac:dyDescent="0.2">
      <c r="A494" s="16" t="s">
        <v>104</v>
      </c>
      <c r="B494" s="82" t="s">
        <v>93</v>
      </c>
      <c r="C494" s="57" t="s">
        <v>558</v>
      </c>
      <c r="D494" s="21" t="s">
        <v>225</v>
      </c>
      <c r="E494" s="98" t="s">
        <v>224</v>
      </c>
      <c r="F494" s="224">
        <v>795</v>
      </c>
      <c r="G494" s="224">
        <v>795</v>
      </c>
      <c r="H494" s="224">
        <v>795</v>
      </c>
    </row>
    <row r="495" spans="1:13" s="37" customFormat="1" ht="38.25" x14ac:dyDescent="0.2">
      <c r="A495" s="16" t="s">
        <v>104</v>
      </c>
      <c r="B495" s="82" t="s">
        <v>93</v>
      </c>
      <c r="C495" s="57" t="s">
        <v>423</v>
      </c>
      <c r="D495" s="21"/>
      <c r="E495" s="98" t="s">
        <v>183</v>
      </c>
      <c r="F495" s="113">
        <f>F496</f>
        <v>250</v>
      </c>
      <c r="G495" s="113">
        <f t="shared" ref="G495:H495" si="129">G496</f>
        <v>250</v>
      </c>
      <c r="H495" s="113">
        <f t="shared" si="129"/>
        <v>250</v>
      </c>
    </row>
    <row r="496" spans="1:13" s="37" customFormat="1" ht="14.25" x14ac:dyDescent="0.2">
      <c r="A496" s="16" t="s">
        <v>104</v>
      </c>
      <c r="B496" s="82" t="s">
        <v>93</v>
      </c>
      <c r="C496" s="57" t="s">
        <v>423</v>
      </c>
      <c r="D496" s="21" t="s">
        <v>225</v>
      </c>
      <c r="E496" s="98" t="s">
        <v>224</v>
      </c>
      <c r="F496" s="113">
        <v>250</v>
      </c>
      <c r="G496" s="113">
        <v>250</v>
      </c>
      <c r="H496" s="113">
        <v>250</v>
      </c>
    </row>
    <row r="497" spans="1:12" s="37" customFormat="1" ht="38.25" x14ac:dyDescent="0.2">
      <c r="A497" s="16" t="s">
        <v>104</v>
      </c>
      <c r="B497" s="82" t="s">
        <v>93</v>
      </c>
      <c r="C497" s="57" t="s">
        <v>424</v>
      </c>
      <c r="D497" s="21"/>
      <c r="E497" s="98" t="s">
        <v>425</v>
      </c>
      <c r="F497" s="113">
        <f>F498</f>
        <v>150</v>
      </c>
      <c r="G497" s="113">
        <f t="shared" ref="G497:H497" si="130">G498</f>
        <v>150</v>
      </c>
      <c r="H497" s="113">
        <f t="shared" si="130"/>
        <v>150</v>
      </c>
    </row>
    <row r="498" spans="1:12" s="37" customFormat="1" ht="14.25" x14ac:dyDescent="0.2">
      <c r="A498" s="16" t="s">
        <v>104</v>
      </c>
      <c r="B498" s="82" t="s">
        <v>93</v>
      </c>
      <c r="C498" s="57" t="s">
        <v>424</v>
      </c>
      <c r="D498" s="21" t="s">
        <v>225</v>
      </c>
      <c r="E498" s="98" t="s">
        <v>224</v>
      </c>
      <c r="F498" s="113">
        <v>150</v>
      </c>
      <c r="G498" s="113">
        <v>150</v>
      </c>
      <c r="H498" s="113">
        <v>150</v>
      </c>
    </row>
    <row r="499" spans="1:12" s="37" customFormat="1" ht="27" customHeight="1" x14ac:dyDescent="0.2">
      <c r="A499" s="47" t="s">
        <v>104</v>
      </c>
      <c r="B499" s="47" t="s">
        <v>93</v>
      </c>
      <c r="C499" s="52" t="s">
        <v>427</v>
      </c>
      <c r="D499" s="82"/>
      <c r="E499" s="46" t="s">
        <v>426</v>
      </c>
      <c r="F499" s="119">
        <f>F500</f>
        <v>50</v>
      </c>
      <c r="G499" s="119">
        <f t="shared" ref="G499:H499" si="131">G500</f>
        <v>50</v>
      </c>
      <c r="H499" s="119">
        <f t="shared" si="131"/>
        <v>50</v>
      </c>
    </row>
    <row r="500" spans="1:12" s="37" customFormat="1" ht="76.5" x14ac:dyDescent="0.2">
      <c r="A500" s="16" t="s">
        <v>104</v>
      </c>
      <c r="B500" s="82" t="s">
        <v>93</v>
      </c>
      <c r="C500" s="57" t="s">
        <v>552</v>
      </c>
      <c r="D500" s="16"/>
      <c r="E500" s="98" t="s">
        <v>430</v>
      </c>
      <c r="F500" s="113">
        <f>F501</f>
        <v>50</v>
      </c>
      <c r="G500" s="113">
        <f>G501</f>
        <v>50</v>
      </c>
      <c r="H500" s="113">
        <f>H501</f>
        <v>50</v>
      </c>
    </row>
    <row r="501" spans="1:12" s="37" customFormat="1" ht="14.25" x14ac:dyDescent="0.2">
      <c r="A501" s="16" t="s">
        <v>104</v>
      </c>
      <c r="B501" s="82" t="s">
        <v>93</v>
      </c>
      <c r="C501" s="57" t="s">
        <v>552</v>
      </c>
      <c r="D501" s="21" t="s">
        <v>225</v>
      </c>
      <c r="E501" s="98" t="s">
        <v>224</v>
      </c>
      <c r="F501" s="113">
        <v>50</v>
      </c>
      <c r="G501" s="113">
        <v>50</v>
      </c>
      <c r="H501" s="113">
        <v>50</v>
      </c>
    </row>
    <row r="502" spans="1:12" s="37" customFormat="1" ht="90" x14ac:dyDescent="0.25">
      <c r="A502" s="16" t="s">
        <v>104</v>
      </c>
      <c r="B502" s="82" t="s">
        <v>93</v>
      </c>
      <c r="C502" s="73" t="s">
        <v>59</v>
      </c>
      <c r="D502" s="35"/>
      <c r="E502" s="53" t="s">
        <v>572</v>
      </c>
      <c r="F502" s="231">
        <f t="shared" ref="F502:H502" si="132">F503</f>
        <v>20869.300000000003</v>
      </c>
      <c r="G502" s="231">
        <f t="shared" si="132"/>
        <v>20914.8</v>
      </c>
      <c r="H502" s="231">
        <f t="shared" si="132"/>
        <v>22007.4</v>
      </c>
    </row>
    <row r="503" spans="1:12" s="37" customFormat="1" ht="25.5" x14ac:dyDescent="0.2">
      <c r="A503" s="16" t="s">
        <v>104</v>
      </c>
      <c r="B503" s="82" t="s">
        <v>93</v>
      </c>
      <c r="C503" s="52" t="s">
        <v>60</v>
      </c>
      <c r="D503" s="35"/>
      <c r="E503" s="48" t="s">
        <v>171</v>
      </c>
      <c r="F503" s="226">
        <f>F504+F506+F508+F510+F512+F514</f>
        <v>20869.300000000003</v>
      </c>
      <c r="G503" s="226">
        <f t="shared" ref="G503:H503" si="133">G504+G506+G508+G510+G512+G514</f>
        <v>20914.8</v>
      </c>
      <c r="H503" s="226">
        <f t="shared" si="133"/>
        <v>22007.4</v>
      </c>
    </row>
    <row r="504" spans="1:12" s="37" customFormat="1" ht="27.75" customHeight="1" x14ac:dyDescent="0.2">
      <c r="A504" s="16" t="s">
        <v>104</v>
      </c>
      <c r="B504" s="82" t="s">
        <v>93</v>
      </c>
      <c r="C504" s="74">
        <v>210221100</v>
      </c>
      <c r="D504" s="16"/>
      <c r="E504" s="99" t="s">
        <v>173</v>
      </c>
      <c r="F504" s="220">
        <f>F505</f>
        <v>12163.6</v>
      </c>
      <c r="G504" s="220">
        <f>G505</f>
        <v>11371.7</v>
      </c>
      <c r="H504" s="220">
        <f>H505</f>
        <v>11337.7</v>
      </c>
    </row>
    <row r="505" spans="1:12" s="37" customFormat="1" ht="14.25" x14ac:dyDescent="0.2">
      <c r="A505" s="16" t="s">
        <v>104</v>
      </c>
      <c r="B505" s="82" t="s">
        <v>93</v>
      </c>
      <c r="C505" s="74">
        <v>210221100</v>
      </c>
      <c r="D505" s="21" t="s">
        <v>225</v>
      </c>
      <c r="E505" s="98" t="s">
        <v>224</v>
      </c>
      <c r="F505" s="220">
        <f>11484.2+700-20.2-0.4</f>
        <v>12163.6</v>
      </c>
      <c r="G505" s="220">
        <f>11484.2-20.2-92.3</f>
        <v>11371.7</v>
      </c>
      <c r="H505" s="220">
        <f>11484.2-20.2-126.3</f>
        <v>11337.7</v>
      </c>
    </row>
    <row r="506" spans="1:12" s="37" customFormat="1" ht="76.5" x14ac:dyDescent="0.2">
      <c r="A506" s="16" t="s">
        <v>104</v>
      </c>
      <c r="B506" s="82" t="s">
        <v>93</v>
      </c>
      <c r="C506" s="74">
        <v>210210690</v>
      </c>
      <c r="D506" s="21"/>
      <c r="E506" s="98" t="s">
        <v>314</v>
      </c>
      <c r="F506" s="220">
        <f>F507</f>
        <v>8169.1</v>
      </c>
      <c r="G506" s="220">
        <f>G507</f>
        <v>9379.4</v>
      </c>
      <c r="H506" s="220">
        <f>H507</f>
        <v>10472</v>
      </c>
      <c r="J506" s="149"/>
      <c r="K506" s="149"/>
      <c r="L506" s="149"/>
    </row>
    <row r="507" spans="1:12" s="37" customFormat="1" ht="14.25" x14ac:dyDescent="0.2">
      <c r="A507" s="16" t="s">
        <v>104</v>
      </c>
      <c r="B507" s="82" t="s">
        <v>93</v>
      </c>
      <c r="C507" s="74">
        <v>210210690</v>
      </c>
      <c r="D507" s="21" t="s">
        <v>225</v>
      </c>
      <c r="E507" s="98" t="s">
        <v>224</v>
      </c>
      <c r="F507" s="232">
        <f>5071.4+1364.8+1732.9</f>
        <v>8169.1</v>
      </c>
      <c r="G507" s="232">
        <f>5071.4+1364.8+2943.2</f>
        <v>9379.4</v>
      </c>
      <c r="H507" s="232">
        <f>5071.4+1364.8+4035.8</f>
        <v>10472</v>
      </c>
    </row>
    <row r="508" spans="1:12" s="37" customFormat="1" ht="63.75" x14ac:dyDescent="0.2">
      <c r="A508" s="16" t="s">
        <v>104</v>
      </c>
      <c r="B508" s="82" t="s">
        <v>93</v>
      </c>
      <c r="C508" s="74" t="s">
        <v>440</v>
      </c>
      <c r="D508" s="82"/>
      <c r="E508" s="98" t="s">
        <v>315</v>
      </c>
      <c r="F508" s="220">
        <f>SUM(F509:F509)</f>
        <v>71.400000000000006</v>
      </c>
      <c r="G508" s="220">
        <f>SUM(G509:G509)</f>
        <v>163.69999999999999</v>
      </c>
      <c r="H508" s="220">
        <f>SUM(H509:H509)</f>
        <v>197.7</v>
      </c>
    </row>
    <row r="509" spans="1:12" s="37" customFormat="1" ht="14.25" x14ac:dyDescent="0.2">
      <c r="A509" s="82" t="s">
        <v>104</v>
      </c>
      <c r="B509" s="82" t="s">
        <v>93</v>
      </c>
      <c r="C509" s="74" t="s">
        <v>440</v>
      </c>
      <c r="D509" s="21" t="s">
        <v>225</v>
      </c>
      <c r="E509" s="98" t="s">
        <v>224</v>
      </c>
      <c r="F509" s="220">
        <f>51.2+20.2</f>
        <v>71.400000000000006</v>
      </c>
      <c r="G509" s="220">
        <f>51.2+20.2+92.3</f>
        <v>163.69999999999999</v>
      </c>
      <c r="H509" s="220">
        <f>51.2+20.2+126.3</f>
        <v>197.7</v>
      </c>
    </row>
    <row r="510" spans="1:12" s="37" customFormat="1" ht="63.75" x14ac:dyDescent="0.2">
      <c r="A510" s="16" t="s">
        <v>104</v>
      </c>
      <c r="B510" s="82" t="s">
        <v>93</v>
      </c>
      <c r="C510" s="74">
        <v>210211390</v>
      </c>
      <c r="D510" s="206"/>
      <c r="E510" s="207" t="s">
        <v>820</v>
      </c>
      <c r="F510" s="233">
        <f>F511</f>
        <v>44.5</v>
      </c>
      <c r="G510" s="220">
        <f t="shared" ref="G510:H510" si="134">G511</f>
        <v>0</v>
      </c>
      <c r="H510" s="220">
        <f t="shared" si="134"/>
        <v>0</v>
      </c>
    </row>
    <row r="511" spans="1:12" s="37" customFormat="1" ht="14.25" x14ac:dyDescent="0.2">
      <c r="A511" s="82" t="s">
        <v>104</v>
      </c>
      <c r="B511" s="82" t="s">
        <v>93</v>
      </c>
      <c r="C511" s="74">
        <v>210211390</v>
      </c>
      <c r="D511" s="21" t="s">
        <v>225</v>
      </c>
      <c r="E511" s="209" t="s">
        <v>224</v>
      </c>
      <c r="F511" s="220">
        <v>44.5</v>
      </c>
      <c r="G511" s="220">
        <v>0</v>
      </c>
      <c r="H511" s="220">
        <v>0</v>
      </c>
    </row>
    <row r="512" spans="1:12" s="37" customFormat="1" ht="76.5" x14ac:dyDescent="0.2">
      <c r="A512" s="16" t="s">
        <v>104</v>
      </c>
      <c r="B512" s="82" t="s">
        <v>93</v>
      </c>
      <c r="C512" s="74" t="s">
        <v>821</v>
      </c>
      <c r="D512" s="21"/>
      <c r="E512" s="108" t="s">
        <v>822</v>
      </c>
      <c r="F512" s="220">
        <f>F513</f>
        <v>0.4</v>
      </c>
      <c r="G512" s="220">
        <f t="shared" ref="G512:H512" si="135">G513</f>
        <v>0</v>
      </c>
      <c r="H512" s="220">
        <f t="shared" si="135"/>
        <v>0</v>
      </c>
    </row>
    <row r="513" spans="1:8" s="37" customFormat="1" ht="14.25" x14ac:dyDescent="0.2">
      <c r="A513" s="82" t="s">
        <v>104</v>
      </c>
      <c r="B513" s="82" t="s">
        <v>93</v>
      </c>
      <c r="C513" s="74" t="s">
        <v>821</v>
      </c>
      <c r="D513" s="21" t="s">
        <v>225</v>
      </c>
      <c r="E513" s="98" t="s">
        <v>224</v>
      </c>
      <c r="F513" s="220">
        <v>0.4</v>
      </c>
      <c r="G513" s="220">
        <v>0</v>
      </c>
      <c r="H513" s="220">
        <v>0</v>
      </c>
    </row>
    <row r="514" spans="1:8" s="37" customFormat="1" ht="63.75" x14ac:dyDescent="0.2">
      <c r="A514" s="16" t="s">
        <v>104</v>
      </c>
      <c r="B514" s="82" t="s">
        <v>93</v>
      </c>
      <c r="C514" s="133" t="s">
        <v>719</v>
      </c>
      <c r="D514" s="21"/>
      <c r="E514" s="124" t="s">
        <v>720</v>
      </c>
      <c r="F514" s="220">
        <f>F515</f>
        <v>420.3</v>
      </c>
      <c r="G514" s="220">
        <f t="shared" ref="G514:H514" si="136">G515</f>
        <v>0</v>
      </c>
      <c r="H514" s="220">
        <f t="shared" si="136"/>
        <v>0</v>
      </c>
    </row>
    <row r="515" spans="1:8" s="37" customFormat="1" ht="14.25" x14ac:dyDescent="0.2">
      <c r="A515" s="16" t="s">
        <v>104</v>
      </c>
      <c r="B515" s="82" t="s">
        <v>93</v>
      </c>
      <c r="C515" s="133" t="s">
        <v>719</v>
      </c>
      <c r="D515" s="21" t="s">
        <v>225</v>
      </c>
      <c r="E515" s="98" t="s">
        <v>224</v>
      </c>
      <c r="F515" s="220">
        <v>420.3</v>
      </c>
      <c r="G515" s="220">
        <v>0</v>
      </c>
      <c r="H515" s="220">
        <v>0</v>
      </c>
    </row>
    <row r="516" spans="1:8" s="37" customFormat="1" ht="38.25" x14ac:dyDescent="0.2">
      <c r="A516" s="82" t="s">
        <v>104</v>
      </c>
      <c r="B516" s="82" t="s">
        <v>93</v>
      </c>
      <c r="C516" s="82" t="s">
        <v>24</v>
      </c>
      <c r="D516" s="82"/>
      <c r="E516" s="99" t="s">
        <v>38</v>
      </c>
      <c r="F516" s="113">
        <f>F517</f>
        <v>300</v>
      </c>
      <c r="G516" s="113">
        <f t="shared" ref="G516:H516" si="137">G517</f>
        <v>0</v>
      </c>
      <c r="H516" s="113">
        <f t="shared" si="137"/>
        <v>0</v>
      </c>
    </row>
    <row r="517" spans="1:8" s="37" customFormat="1" ht="51" x14ac:dyDescent="0.2">
      <c r="A517" s="16" t="s">
        <v>104</v>
      </c>
      <c r="B517" s="82" t="s">
        <v>93</v>
      </c>
      <c r="C517" s="82" t="s">
        <v>568</v>
      </c>
      <c r="D517" s="16"/>
      <c r="E517" s="54" t="s">
        <v>566</v>
      </c>
      <c r="F517" s="113">
        <f>SUM(F518:F518)</f>
        <v>300</v>
      </c>
      <c r="G517" s="113">
        <f>SUM(G518:G518)</f>
        <v>0</v>
      </c>
      <c r="H517" s="113">
        <f>SUM(H518:H518)</f>
        <v>0</v>
      </c>
    </row>
    <row r="518" spans="1:8" s="37" customFormat="1" ht="14.25" x14ac:dyDescent="0.2">
      <c r="A518" s="16" t="s">
        <v>104</v>
      </c>
      <c r="B518" s="82" t="s">
        <v>93</v>
      </c>
      <c r="C518" s="82" t="s">
        <v>568</v>
      </c>
      <c r="D518" s="21" t="s">
        <v>225</v>
      </c>
      <c r="E518" s="98" t="s">
        <v>224</v>
      </c>
      <c r="F518" s="220">
        <f>200+100</f>
        <v>300</v>
      </c>
      <c r="G518" s="220">
        <v>0</v>
      </c>
      <c r="H518" s="220">
        <v>0</v>
      </c>
    </row>
    <row r="519" spans="1:8" s="37" customFormat="1" ht="38.25" x14ac:dyDescent="0.2">
      <c r="A519" s="35" t="s">
        <v>104</v>
      </c>
      <c r="B519" s="35" t="s">
        <v>95</v>
      </c>
      <c r="C519" s="35"/>
      <c r="D519" s="35"/>
      <c r="E519" s="46" t="s">
        <v>2</v>
      </c>
      <c r="F519" s="222">
        <f t="shared" ref="F519:H521" si="138">F520</f>
        <v>193.2</v>
      </c>
      <c r="G519" s="222">
        <f t="shared" si="138"/>
        <v>115</v>
      </c>
      <c r="H519" s="222">
        <f t="shared" si="138"/>
        <v>130</v>
      </c>
    </row>
    <row r="520" spans="1:8" s="37" customFormat="1" ht="76.5" x14ac:dyDescent="0.2">
      <c r="A520" s="16" t="s">
        <v>104</v>
      </c>
      <c r="B520" s="16" t="s">
        <v>95</v>
      </c>
      <c r="C520" s="21" t="s">
        <v>73</v>
      </c>
      <c r="D520" s="35"/>
      <c r="E520" s="64" t="s">
        <v>571</v>
      </c>
      <c r="F520" s="230">
        <f t="shared" si="138"/>
        <v>193.2</v>
      </c>
      <c r="G520" s="230">
        <f t="shared" si="138"/>
        <v>115</v>
      </c>
      <c r="H520" s="230">
        <f t="shared" si="138"/>
        <v>130</v>
      </c>
    </row>
    <row r="521" spans="1:8" s="37" customFormat="1" ht="25.5" customHeight="1" x14ac:dyDescent="0.2">
      <c r="A521" s="16" t="s">
        <v>104</v>
      </c>
      <c r="B521" s="16" t="s">
        <v>95</v>
      </c>
      <c r="C521" s="52" t="s">
        <v>427</v>
      </c>
      <c r="D521" s="35"/>
      <c r="E521" s="46" t="s">
        <v>426</v>
      </c>
      <c r="F521" s="226">
        <f t="shared" si="138"/>
        <v>193.2</v>
      </c>
      <c r="G521" s="226">
        <f t="shared" si="138"/>
        <v>115</v>
      </c>
      <c r="H521" s="226">
        <f t="shared" si="138"/>
        <v>130</v>
      </c>
    </row>
    <row r="522" spans="1:8" s="37" customFormat="1" ht="38.25" x14ac:dyDescent="0.2">
      <c r="A522" s="16" t="s">
        <v>104</v>
      </c>
      <c r="B522" s="16" t="s">
        <v>95</v>
      </c>
      <c r="C522" s="57" t="s">
        <v>553</v>
      </c>
      <c r="D522" s="16"/>
      <c r="E522" s="98" t="s">
        <v>44</v>
      </c>
      <c r="F522" s="113">
        <f>F523</f>
        <v>193.2</v>
      </c>
      <c r="G522" s="113">
        <f>G523</f>
        <v>115</v>
      </c>
      <c r="H522" s="113">
        <f>H523</f>
        <v>130</v>
      </c>
    </row>
    <row r="523" spans="1:8" s="37" customFormat="1" ht="14.25" x14ac:dyDescent="0.2">
      <c r="A523" s="16" t="s">
        <v>104</v>
      </c>
      <c r="B523" s="16" t="s">
        <v>95</v>
      </c>
      <c r="C523" s="57" t="s">
        <v>553</v>
      </c>
      <c r="D523" s="21" t="s">
        <v>225</v>
      </c>
      <c r="E523" s="98" t="s">
        <v>224</v>
      </c>
      <c r="F523" s="224">
        <f>193.2-63.2-25.8+89</f>
        <v>193.2</v>
      </c>
      <c r="G523" s="224">
        <f>193.2-63.2-15</f>
        <v>115</v>
      </c>
      <c r="H523" s="224">
        <f>193.2-63.2</f>
        <v>130</v>
      </c>
    </row>
    <row r="524" spans="1:8" s="37" customFormat="1" ht="14.25" x14ac:dyDescent="0.2">
      <c r="A524" s="35" t="s">
        <v>104</v>
      </c>
      <c r="B524" s="35" t="s">
        <v>104</v>
      </c>
      <c r="C524" s="35"/>
      <c r="D524" s="35"/>
      <c r="E524" s="46" t="s">
        <v>155</v>
      </c>
      <c r="F524" s="222">
        <f>F525+F541</f>
        <v>12345</v>
      </c>
      <c r="G524" s="222">
        <f>G525+G541</f>
        <v>7727.4</v>
      </c>
      <c r="H524" s="222">
        <f>H525+H541</f>
        <v>7727.4</v>
      </c>
    </row>
    <row r="525" spans="1:8" ht="90" x14ac:dyDescent="0.25">
      <c r="A525" s="5" t="s">
        <v>104</v>
      </c>
      <c r="B525" s="5" t="s">
        <v>104</v>
      </c>
      <c r="C525" s="73" t="s">
        <v>59</v>
      </c>
      <c r="D525" s="35"/>
      <c r="E525" s="53" t="s">
        <v>572</v>
      </c>
      <c r="F525" s="231">
        <f>F526</f>
        <v>12265</v>
      </c>
      <c r="G525" s="231">
        <f t="shared" ref="G525:H525" si="139">G526</f>
        <v>7677.4</v>
      </c>
      <c r="H525" s="231">
        <f t="shared" si="139"/>
        <v>7677.4</v>
      </c>
    </row>
    <row r="526" spans="1:8" ht="25.5" x14ac:dyDescent="0.2">
      <c r="A526" s="16" t="s">
        <v>104</v>
      </c>
      <c r="B526" s="16" t="s">
        <v>104</v>
      </c>
      <c r="C526" s="52" t="s">
        <v>30</v>
      </c>
      <c r="D526" s="21"/>
      <c r="E526" s="48" t="s">
        <v>177</v>
      </c>
      <c r="F526" s="113">
        <f>F527+F529+F531+F533+F535+F537+F539</f>
        <v>12265</v>
      </c>
      <c r="G526" s="113">
        <f t="shared" ref="G526:H526" si="140">G527+G529+G531+G533+G535+G537+G539</f>
        <v>7677.4</v>
      </c>
      <c r="H526" s="113">
        <f t="shared" si="140"/>
        <v>7677.4</v>
      </c>
    </row>
    <row r="527" spans="1:8" ht="51" x14ac:dyDescent="0.2">
      <c r="A527" s="16" t="s">
        <v>104</v>
      </c>
      <c r="B527" s="16" t="s">
        <v>104</v>
      </c>
      <c r="C527" s="135" t="s">
        <v>450</v>
      </c>
      <c r="D527" s="16"/>
      <c r="E527" s="100" t="s">
        <v>206</v>
      </c>
      <c r="F527" s="220">
        <f>F528</f>
        <v>6.6</v>
      </c>
      <c r="G527" s="220">
        <f>G528</f>
        <v>6.6</v>
      </c>
      <c r="H527" s="220">
        <f>H528</f>
        <v>6.6</v>
      </c>
    </row>
    <row r="528" spans="1:8" ht="38.25" x14ac:dyDescent="0.2">
      <c r="A528" s="16" t="s">
        <v>104</v>
      </c>
      <c r="B528" s="16" t="s">
        <v>104</v>
      </c>
      <c r="C528" s="135" t="s">
        <v>450</v>
      </c>
      <c r="D528" s="82" t="s">
        <v>211</v>
      </c>
      <c r="E528" s="98" t="s">
        <v>212</v>
      </c>
      <c r="F528" s="113">
        <v>6.6</v>
      </c>
      <c r="G528" s="113">
        <v>6.6</v>
      </c>
      <c r="H528" s="113">
        <v>6.6</v>
      </c>
    </row>
    <row r="529" spans="1:8" ht="25.5" x14ac:dyDescent="0.2">
      <c r="A529" s="16" t="s">
        <v>104</v>
      </c>
      <c r="B529" s="16" t="s">
        <v>104</v>
      </c>
      <c r="C529" s="135" t="s">
        <v>451</v>
      </c>
      <c r="D529" s="16"/>
      <c r="E529" s="98" t="s">
        <v>178</v>
      </c>
      <c r="F529" s="113">
        <f>F530</f>
        <v>289.60000000000002</v>
      </c>
      <c r="G529" s="113">
        <f>G530</f>
        <v>289.60000000000002</v>
      </c>
      <c r="H529" s="113">
        <f>H530</f>
        <v>289.60000000000002</v>
      </c>
    </row>
    <row r="530" spans="1:8" ht="38.25" x14ac:dyDescent="0.2">
      <c r="A530" s="16" t="s">
        <v>104</v>
      </c>
      <c r="B530" s="16" t="s">
        <v>104</v>
      </c>
      <c r="C530" s="135" t="s">
        <v>451</v>
      </c>
      <c r="D530" s="82" t="s">
        <v>211</v>
      </c>
      <c r="E530" s="98" t="s">
        <v>212</v>
      </c>
      <c r="F530" s="113">
        <v>289.60000000000002</v>
      </c>
      <c r="G530" s="113">
        <v>289.60000000000002</v>
      </c>
      <c r="H530" s="113">
        <v>289.60000000000002</v>
      </c>
    </row>
    <row r="531" spans="1:8" ht="63.75" x14ac:dyDescent="0.2">
      <c r="A531" s="16" t="s">
        <v>104</v>
      </c>
      <c r="B531" s="16" t="s">
        <v>104</v>
      </c>
      <c r="C531" s="135" t="s">
        <v>452</v>
      </c>
      <c r="D531" s="16"/>
      <c r="E531" s="98" t="s">
        <v>77</v>
      </c>
      <c r="F531" s="113">
        <f>F532</f>
        <v>15</v>
      </c>
      <c r="G531" s="113">
        <f>G532</f>
        <v>15</v>
      </c>
      <c r="H531" s="113">
        <f>H532</f>
        <v>15</v>
      </c>
    </row>
    <row r="532" spans="1:8" ht="38.25" x14ac:dyDescent="0.2">
      <c r="A532" s="16" t="s">
        <v>104</v>
      </c>
      <c r="B532" s="16" t="s">
        <v>104</v>
      </c>
      <c r="C532" s="135" t="s">
        <v>452</v>
      </c>
      <c r="D532" s="82" t="s">
        <v>211</v>
      </c>
      <c r="E532" s="98" t="s">
        <v>212</v>
      </c>
      <c r="F532" s="113">
        <v>15</v>
      </c>
      <c r="G532" s="113">
        <v>15</v>
      </c>
      <c r="H532" s="113">
        <v>15</v>
      </c>
    </row>
    <row r="533" spans="1:8" x14ac:dyDescent="0.2">
      <c r="A533" s="16" t="s">
        <v>104</v>
      </c>
      <c r="B533" s="16" t="s">
        <v>104</v>
      </c>
      <c r="C533" s="135" t="s">
        <v>453</v>
      </c>
      <c r="D533" s="82"/>
      <c r="E533" s="54" t="s">
        <v>374</v>
      </c>
      <c r="F533" s="113">
        <f>F534</f>
        <v>50</v>
      </c>
      <c r="G533" s="113">
        <f>G534</f>
        <v>50</v>
      </c>
      <c r="H533" s="113">
        <f>H534</f>
        <v>50</v>
      </c>
    </row>
    <row r="534" spans="1:8" ht="38.25" x14ac:dyDescent="0.2">
      <c r="A534" s="16" t="s">
        <v>104</v>
      </c>
      <c r="B534" s="16" t="s">
        <v>104</v>
      </c>
      <c r="C534" s="135" t="s">
        <v>453</v>
      </c>
      <c r="D534" s="82" t="s">
        <v>211</v>
      </c>
      <c r="E534" s="98" t="s">
        <v>212</v>
      </c>
      <c r="F534" s="113">
        <v>50</v>
      </c>
      <c r="G534" s="113">
        <v>50</v>
      </c>
      <c r="H534" s="113">
        <v>50</v>
      </c>
    </row>
    <row r="535" spans="1:8" ht="42.75" customHeight="1" x14ac:dyDescent="0.2">
      <c r="A535" s="16" t="s">
        <v>104</v>
      </c>
      <c r="B535" s="16" t="s">
        <v>104</v>
      </c>
      <c r="C535" s="74">
        <v>230221100</v>
      </c>
      <c r="D535" s="16"/>
      <c r="E535" s="98" t="s">
        <v>0</v>
      </c>
      <c r="F535" s="113">
        <f t="shared" ref="F535:H535" si="141">F536</f>
        <v>11039.8</v>
      </c>
      <c r="G535" s="113">
        <f t="shared" si="141"/>
        <v>7316.2</v>
      </c>
      <c r="H535" s="113">
        <f t="shared" si="141"/>
        <v>7316.2</v>
      </c>
    </row>
    <row r="536" spans="1:8" x14ac:dyDescent="0.2">
      <c r="A536" s="16" t="s">
        <v>104</v>
      </c>
      <c r="B536" s="16" t="s">
        <v>104</v>
      </c>
      <c r="C536" s="74">
        <v>230221100</v>
      </c>
      <c r="D536" s="82" t="s">
        <v>225</v>
      </c>
      <c r="E536" s="98" t="s">
        <v>224</v>
      </c>
      <c r="F536" s="113">
        <f>10339.8+700</f>
        <v>11039.8</v>
      </c>
      <c r="G536" s="113">
        <v>7316.2</v>
      </c>
      <c r="H536" s="113">
        <v>7316.2</v>
      </c>
    </row>
    <row r="537" spans="1:8" ht="57.75" customHeight="1" x14ac:dyDescent="0.2">
      <c r="A537" s="16" t="s">
        <v>104</v>
      </c>
      <c r="B537" s="16" t="s">
        <v>104</v>
      </c>
      <c r="C537" s="74">
        <v>230321210</v>
      </c>
      <c r="D537" s="82"/>
      <c r="E537" s="98" t="s">
        <v>454</v>
      </c>
      <c r="F537" s="113">
        <f t="shared" ref="F537:H537" si="142">F538</f>
        <v>90</v>
      </c>
      <c r="G537" s="113">
        <f t="shared" si="142"/>
        <v>0</v>
      </c>
      <c r="H537" s="113">
        <f t="shared" si="142"/>
        <v>0</v>
      </c>
    </row>
    <row r="538" spans="1:8" x14ac:dyDescent="0.2">
      <c r="A538" s="82" t="s">
        <v>104</v>
      </c>
      <c r="B538" s="82" t="s">
        <v>104</v>
      </c>
      <c r="C538" s="74">
        <v>230321210</v>
      </c>
      <c r="D538" s="21" t="s">
        <v>225</v>
      </c>
      <c r="E538" s="98" t="s">
        <v>224</v>
      </c>
      <c r="F538" s="113">
        <v>90</v>
      </c>
      <c r="G538" s="113">
        <v>0</v>
      </c>
      <c r="H538" s="113">
        <v>0</v>
      </c>
    </row>
    <row r="539" spans="1:8" ht="51" customHeight="1" x14ac:dyDescent="0.2">
      <c r="A539" s="16" t="s">
        <v>104</v>
      </c>
      <c r="B539" s="16" t="s">
        <v>104</v>
      </c>
      <c r="C539" s="74">
        <v>230321220</v>
      </c>
      <c r="D539" s="21"/>
      <c r="E539" s="98" t="s">
        <v>679</v>
      </c>
      <c r="F539" s="113">
        <f>F540</f>
        <v>774</v>
      </c>
      <c r="G539" s="113">
        <f t="shared" ref="G539:H539" si="143">G540</f>
        <v>0</v>
      </c>
      <c r="H539" s="113">
        <f t="shared" si="143"/>
        <v>0</v>
      </c>
    </row>
    <row r="540" spans="1:8" x14ac:dyDescent="0.2">
      <c r="A540" s="82" t="s">
        <v>104</v>
      </c>
      <c r="B540" s="82" t="s">
        <v>104</v>
      </c>
      <c r="C540" s="74">
        <v>230321220</v>
      </c>
      <c r="D540" s="21" t="s">
        <v>225</v>
      </c>
      <c r="E540" s="98" t="s">
        <v>224</v>
      </c>
      <c r="F540" s="113">
        <f>474+300</f>
        <v>774</v>
      </c>
      <c r="G540" s="113">
        <v>0</v>
      </c>
      <c r="H540" s="113">
        <v>0</v>
      </c>
    </row>
    <row r="541" spans="1:8" ht="89.25" x14ac:dyDescent="0.2">
      <c r="A541" s="5" t="s">
        <v>104</v>
      </c>
      <c r="B541" s="5" t="s">
        <v>104</v>
      </c>
      <c r="C541" s="73" t="s">
        <v>71</v>
      </c>
      <c r="D541" s="16"/>
      <c r="E541" s="53" t="s">
        <v>582</v>
      </c>
      <c r="F541" s="117">
        <f>F542+F547</f>
        <v>80</v>
      </c>
      <c r="G541" s="117">
        <f t="shared" ref="G541:H541" si="144">G542+G547</f>
        <v>50</v>
      </c>
      <c r="H541" s="117">
        <f t="shared" si="144"/>
        <v>50</v>
      </c>
    </row>
    <row r="542" spans="1:8" ht="76.5" x14ac:dyDescent="0.2">
      <c r="A542" s="47" t="s">
        <v>104</v>
      </c>
      <c r="B542" s="47" t="s">
        <v>104</v>
      </c>
      <c r="C542" s="52" t="s">
        <v>514</v>
      </c>
      <c r="D542" s="16"/>
      <c r="E542" s="48" t="s">
        <v>179</v>
      </c>
      <c r="F542" s="119">
        <f>F543+F545</f>
        <v>40</v>
      </c>
      <c r="G542" s="119">
        <f t="shared" ref="G542:H542" si="145">G543+G545</f>
        <v>50</v>
      </c>
      <c r="H542" s="119">
        <f t="shared" si="145"/>
        <v>50</v>
      </c>
    </row>
    <row r="543" spans="1:8" ht="102" x14ac:dyDescent="0.2">
      <c r="A543" s="16" t="s">
        <v>104</v>
      </c>
      <c r="B543" s="16" t="s">
        <v>104</v>
      </c>
      <c r="C543" s="74">
        <v>1020123085</v>
      </c>
      <c r="D543" s="16"/>
      <c r="E543" s="98" t="s">
        <v>180</v>
      </c>
      <c r="F543" s="113">
        <f>F544</f>
        <v>5</v>
      </c>
      <c r="G543" s="113">
        <f>G544</f>
        <v>5</v>
      </c>
      <c r="H543" s="113">
        <f>H544</f>
        <v>5</v>
      </c>
    </row>
    <row r="544" spans="1:8" ht="38.25" x14ac:dyDescent="0.2">
      <c r="A544" s="16" t="s">
        <v>104</v>
      </c>
      <c r="B544" s="16" t="s">
        <v>104</v>
      </c>
      <c r="C544" s="74">
        <v>1020123085</v>
      </c>
      <c r="D544" s="82" t="s">
        <v>211</v>
      </c>
      <c r="E544" s="98" t="s">
        <v>212</v>
      </c>
      <c r="F544" s="113">
        <v>5</v>
      </c>
      <c r="G544" s="113">
        <v>5</v>
      </c>
      <c r="H544" s="113">
        <v>5</v>
      </c>
    </row>
    <row r="545" spans="1:10" x14ac:dyDescent="0.2">
      <c r="A545" s="16" t="s">
        <v>104</v>
      </c>
      <c r="B545" s="16" t="s">
        <v>104</v>
      </c>
      <c r="C545" s="74">
        <v>1020123086</v>
      </c>
      <c r="D545" s="16"/>
      <c r="E545" s="98" t="s">
        <v>181</v>
      </c>
      <c r="F545" s="113">
        <f>F546</f>
        <v>35</v>
      </c>
      <c r="G545" s="113">
        <f>G546</f>
        <v>45</v>
      </c>
      <c r="H545" s="113">
        <f>H546</f>
        <v>45</v>
      </c>
    </row>
    <row r="546" spans="1:10" ht="38.25" x14ac:dyDescent="0.2">
      <c r="A546" s="16" t="s">
        <v>104</v>
      </c>
      <c r="B546" s="16" t="s">
        <v>104</v>
      </c>
      <c r="C546" s="74">
        <v>1020123086</v>
      </c>
      <c r="D546" s="82" t="s">
        <v>211</v>
      </c>
      <c r="E546" s="98" t="s">
        <v>212</v>
      </c>
      <c r="F546" s="113">
        <v>35</v>
      </c>
      <c r="G546" s="113">
        <v>45</v>
      </c>
      <c r="H546" s="113">
        <v>45</v>
      </c>
    </row>
    <row r="547" spans="1:10" ht="51" x14ac:dyDescent="0.2">
      <c r="A547" s="47" t="s">
        <v>104</v>
      </c>
      <c r="B547" s="47" t="s">
        <v>104</v>
      </c>
      <c r="C547" s="52" t="s">
        <v>613</v>
      </c>
      <c r="D547" s="82"/>
      <c r="E547" s="60" t="s">
        <v>631</v>
      </c>
      <c r="F547" s="119">
        <f>F548</f>
        <v>40</v>
      </c>
      <c r="G547" s="119">
        <f t="shared" ref="G547:H547" si="146">G548</f>
        <v>0</v>
      </c>
      <c r="H547" s="119">
        <f t="shared" si="146"/>
        <v>0</v>
      </c>
    </row>
    <row r="548" spans="1:10" ht="38.25" x14ac:dyDescent="0.2">
      <c r="A548" s="16" t="s">
        <v>104</v>
      </c>
      <c r="B548" s="16" t="s">
        <v>104</v>
      </c>
      <c r="C548" s="74">
        <v>1030323090</v>
      </c>
      <c r="D548" s="82"/>
      <c r="E548" s="98" t="s">
        <v>614</v>
      </c>
      <c r="F548" s="113">
        <f>F549</f>
        <v>40</v>
      </c>
      <c r="G548" s="113">
        <f t="shared" ref="G548:H548" si="147">G549</f>
        <v>0</v>
      </c>
      <c r="H548" s="113">
        <f t="shared" si="147"/>
        <v>0</v>
      </c>
    </row>
    <row r="549" spans="1:10" ht="38.25" x14ac:dyDescent="0.2">
      <c r="A549" s="16" t="s">
        <v>104</v>
      </c>
      <c r="B549" s="16" t="s">
        <v>104</v>
      </c>
      <c r="C549" s="74">
        <v>1030323090</v>
      </c>
      <c r="D549" s="82" t="s">
        <v>211</v>
      </c>
      <c r="E549" s="98" t="s">
        <v>212</v>
      </c>
      <c r="F549" s="113">
        <v>40</v>
      </c>
      <c r="G549" s="113">
        <v>0</v>
      </c>
      <c r="H549" s="113">
        <v>0</v>
      </c>
    </row>
    <row r="550" spans="1:10" ht="25.5" x14ac:dyDescent="0.2">
      <c r="A550" s="35" t="s">
        <v>104</v>
      </c>
      <c r="B550" s="35" t="s">
        <v>99</v>
      </c>
      <c r="C550" s="35"/>
      <c r="D550" s="35"/>
      <c r="E550" s="46" t="s">
        <v>109</v>
      </c>
      <c r="F550" s="222">
        <f t="shared" ref="F550:H550" si="148">F551</f>
        <v>16231.399999999998</v>
      </c>
      <c r="G550" s="222">
        <f t="shared" si="148"/>
        <v>15863.8</v>
      </c>
      <c r="H550" s="222">
        <f t="shared" si="148"/>
        <v>15863.8</v>
      </c>
    </row>
    <row r="551" spans="1:10" s="20" customFormat="1" ht="77.25" x14ac:dyDescent="0.25">
      <c r="A551" s="16" t="s">
        <v>104</v>
      </c>
      <c r="B551" s="16" t="s">
        <v>99</v>
      </c>
      <c r="C551" s="21" t="s">
        <v>73</v>
      </c>
      <c r="D551" s="35"/>
      <c r="E551" s="64" t="s">
        <v>571</v>
      </c>
      <c r="F551" s="230">
        <f>F552+F561+F579</f>
        <v>16231.399999999998</v>
      </c>
      <c r="G551" s="230">
        <f>G552+G561+G579</f>
        <v>15863.8</v>
      </c>
      <c r="H551" s="230">
        <f>H552+H561+H579</f>
        <v>15863.8</v>
      </c>
    </row>
    <row r="552" spans="1:10" s="20" customFormat="1" ht="42" customHeight="1" x14ac:dyDescent="0.25">
      <c r="A552" s="16" t="s">
        <v>104</v>
      </c>
      <c r="B552" s="16" t="s">
        <v>99</v>
      </c>
      <c r="C552" s="52" t="s">
        <v>75</v>
      </c>
      <c r="D552" s="21"/>
      <c r="E552" s="46" t="s">
        <v>559</v>
      </c>
      <c r="F552" s="226">
        <f>F553+F555+F558</f>
        <v>5679.5999999999995</v>
      </c>
      <c r="G552" s="226">
        <f>G553+G555+G558</f>
        <v>5708.7999999999993</v>
      </c>
      <c r="H552" s="226">
        <f>H553+H555+H558</f>
        <v>5708.7999999999993</v>
      </c>
    </row>
    <row r="553" spans="1:10" s="20" customFormat="1" ht="21" customHeight="1" x14ac:dyDescent="0.25">
      <c r="A553" s="16" t="s">
        <v>104</v>
      </c>
      <c r="B553" s="16" t="s">
        <v>99</v>
      </c>
      <c r="C553" s="57" t="s">
        <v>407</v>
      </c>
      <c r="D553" s="21"/>
      <c r="E553" s="98" t="s">
        <v>45</v>
      </c>
      <c r="F553" s="113">
        <f>F554</f>
        <v>3042.5</v>
      </c>
      <c r="G553" s="113">
        <f>G554</f>
        <v>3042.5</v>
      </c>
      <c r="H553" s="113">
        <f>H554</f>
        <v>3042.5</v>
      </c>
    </row>
    <row r="554" spans="1:10" s="20" customFormat="1" ht="19.5" customHeight="1" x14ac:dyDescent="0.25">
      <c r="A554" s="16" t="s">
        <v>104</v>
      </c>
      <c r="B554" s="16" t="s">
        <v>99</v>
      </c>
      <c r="C554" s="57" t="s">
        <v>407</v>
      </c>
      <c r="D554" s="21" t="s">
        <v>225</v>
      </c>
      <c r="E554" s="98" t="s">
        <v>224</v>
      </c>
      <c r="F554" s="113">
        <v>3042.5</v>
      </c>
      <c r="G554" s="113">
        <v>3042.5</v>
      </c>
      <c r="H554" s="113">
        <v>3042.5</v>
      </c>
    </row>
    <row r="555" spans="1:10" s="20" customFormat="1" ht="42" customHeight="1" x14ac:dyDescent="0.25">
      <c r="A555" s="16" t="s">
        <v>104</v>
      </c>
      <c r="B555" s="16" t="s">
        <v>99</v>
      </c>
      <c r="C555" s="57" t="s">
        <v>409</v>
      </c>
      <c r="D555" s="21"/>
      <c r="E555" s="98" t="s">
        <v>408</v>
      </c>
      <c r="F555" s="113">
        <f>SUM(F556:F557)</f>
        <v>2450.4</v>
      </c>
      <c r="G555" s="113">
        <f>SUM(G556:G557)</f>
        <v>2450.4</v>
      </c>
      <c r="H555" s="113">
        <f>SUM(H556:H557)</f>
        <v>2450.4</v>
      </c>
      <c r="J555" s="163"/>
    </row>
    <row r="556" spans="1:10" s="20" customFormat="1" ht="36.75" customHeight="1" x14ac:dyDescent="0.25">
      <c r="A556" s="16" t="s">
        <v>104</v>
      </c>
      <c r="B556" s="16" t="s">
        <v>99</v>
      </c>
      <c r="C556" s="57" t="s">
        <v>409</v>
      </c>
      <c r="D556" s="82" t="s">
        <v>211</v>
      </c>
      <c r="E556" s="98" t="s">
        <v>212</v>
      </c>
      <c r="F556" s="220">
        <v>200</v>
      </c>
      <c r="G556" s="220">
        <v>200</v>
      </c>
      <c r="H556" s="220">
        <v>200</v>
      </c>
    </row>
    <row r="557" spans="1:10" s="20" customFormat="1" ht="17.25" customHeight="1" x14ac:dyDescent="0.25">
      <c r="A557" s="16" t="s">
        <v>104</v>
      </c>
      <c r="B557" s="16" t="s">
        <v>99</v>
      </c>
      <c r="C557" s="57" t="s">
        <v>409</v>
      </c>
      <c r="D557" s="21" t="s">
        <v>225</v>
      </c>
      <c r="E557" s="98" t="s">
        <v>224</v>
      </c>
      <c r="F557" s="220">
        <v>2250.4</v>
      </c>
      <c r="G557" s="220">
        <v>2250.4</v>
      </c>
      <c r="H557" s="220">
        <v>2250.4</v>
      </c>
    </row>
    <row r="558" spans="1:10" s="20" customFormat="1" ht="38.25" x14ac:dyDescent="0.25">
      <c r="A558" s="16" t="s">
        <v>104</v>
      </c>
      <c r="B558" s="16" t="s">
        <v>99</v>
      </c>
      <c r="C558" s="57" t="s">
        <v>555</v>
      </c>
      <c r="D558" s="21"/>
      <c r="E558" s="98" t="s">
        <v>134</v>
      </c>
      <c r="F558" s="113">
        <f>SUM(F559:F560)</f>
        <v>186.7</v>
      </c>
      <c r="G558" s="113">
        <f>SUM(G559:G560)</f>
        <v>215.9</v>
      </c>
      <c r="H558" s="113">
        <f>SUM(H559:H560)</f>
        <v>215.9</v>
      </c>
    </row>
    <row r="559" spans="1:10" s="20" customFormat="1" ht="25.5" x14ac:dyDescent="0.25">
      <c r="A559" s="16" t="s">
        <v>104</v>
      </c>
      <c r="B559" s="16" t="s">
        <v>99</v>
      </c>
      <c r="C559" s="57" t="s">
        <v>555</v>
      </c>
      <c r="D559" s="82" t="s">
        <v>64</v>
      </c>
      <c r="E559" s="55" t="s">
        <v>130</v>
      </c>
      <c r="F559" s="113">
        <v>88.5</v>
      </c>
      <c r="G559" s="113">
        <v>88.5</v>
      </c>
      <c r="H559" s="113">
        <v>88.5</v>
      </c>
    </row>
    <row r="560" spans="1:10" s="20" customFormat="1" ht="38.25" x14ac:dyDescent="0.25">
      <c r="A560" s="16" t="s">
        <v>104</v>
      </c>
      <c r="B560" s="16" t="s">
        <v>99</v>
      </c>
      <c r="C560" s="57" t="s">
        <v>555</v>
      </c>
      <c r="D560" s="82" t="s">
        <v>211</v>
      </c>
      <c r="E560" s="98" t="s">
        <v>212</v>
      </c>
      <c r="F560" s="113">
        <f>127.4-29.2</f>
        <v>98.2</v>
      </c>
      <c r="G560" s="113">
        <v>127.4</v>
      </c>
      <c r="H560" s="113">
        <v>127.4</v>
      </c>
    </row>
    <row r="561" spans="1:10" s="20" customFormat="1" ht="24.75" customHeight="1" x14ac:dyDescent="0.25">
      <c r="A561" s="16" t="s">
        <v>104</v>
      </c>
      <c r="B561" s="16" t="s">
        <v>99</v>
      </c>
      <c r="C561" s="52" t="s">
        <v>427</v>
      </c>
      <c r="D561" s="82"/>
      <c r="E561" s="46" t="s">
        <v>426</v>
      </c>
      <c r="F561" s="113">
        <f>F562+F564+F566+F568+F570+F573+F575+F577</f>
        <v>1495.8999999999999</v>
      </c>
      <c r="G561" s="113">
        <f t="shared" ref="G561:H561" si="149">G562+G564+G566+G568+G570+G573+G575+G577</f>
        <v>1409.8</v>
      </c>
      <c r="H561" s="113">
        <f t="shared" si="149"/>
        <v>1409.8</v>
      </c>
    </row>
    <row r="562" spans="1:10" s="20" customFormat="1" ht="51.75" x14ac:dyDescent="0.25">
      <c r="A562" s="16" t="s">
        <v>104</v>
      </c>
      <c r="B562" s="16" t="s">
        <v>99</v>
      </c>
      <c r="C562" s="21" t="s">
        <v>556</v>
      </c>
      <c r="D562" s="16"/>
      <c r="E562" s="97" t="s">
        <v>429</v>
      </c>
      <c r="F562" s="220">
        <f>F563</f>
        <v>141.69999999999999</v>
      </c>
      <c r="G562" s="220">
        <f>G563</f>
        <v>141.69999999999999</v>
      </c>
      <c r="H562" s="220">
        <f>H563</f>
        <v>141.69999999999999</v>
      </c>
    </row>
    <row r="563" spans="1:10" s="20" customFormat="1" ht="15" x14ac:dyDescent="0.25">
      <c r="A563" s="16" t="s">
        <v>104</v>
      </c>
      <c r="B563" s="16" t="s">
        <v>99</v>
      </c>
      <c r="C563" s="21" t="s">
        <v>556</v>
      </c>
      <c r="D563" s="82" t="s">
        <v>355</v>
      </c>
      <c r="E563" s="98" t="s">
        <v>356</v>
      </c>
      <c r="F563" s="113">
        <v>141.69999999999999</v>
      </c>
      <c r="G563" s="113">
        <v>141.69999999999999</v>
      </c>
      <c r="H563" s="113">
        <v>141.69999999999999</v>
      </c>
    </row>
    <row r="564" spans="1:10" s="20" customFormat="1" ht="38.25" x14ac:dyDescent="0.25">
      <c r="A564" s="16" t="s">
        <v>104</v>
      </c>
      <c r="B564" s="16" t="s">
        <v>99</v>
      </c>
      <c r="C564" s="57" t="s">
        <v>557</v>
      </c>
      <c r="D564" s="16"/>
      <c r="E564" s="98" t="s">
        <v>49</v>
      </c>
      <c r="F564" s="113">
        <f>F565</f>
        <v>112.2</v>
      </c>
      <c r="G564" s="113">
        <f>G565</f>
        <v>112.2</v>
      </c>
      <c r="H564" s="113">
        <f>H565</f>
        <v>112.2</v>
      </c>
    </row>
    <row r="565" spans="1:10" s="20" customFormat="1" ht="38.25" x14ac:dyDescent="0.25">
      <c r="A565" s="16" t="s">
        <v>104</v>
      </c>
      <c r="B565" s="16" t="s">
        <v>99</v>
      </c>
      <c r="C565" s="57" t="s">
        <v>557</v>
      </c>
      <c r="D565" s="82" t="s">
        <v>211</v>
      </c>
      <c r="E565" s="98" t="s">
        <v>212</v>
      </c>
      <c r="F565" s="113">
        <v>112.2</v>
      </c>
      <c r="G565" s="113">
        <v>112.2</v>
      </c>
      <c r="H565" s="113">
        <v>112.2</v>
      </c>
    </row>
    <row r="566" spans="1:10" s="20" customFormat="1" ht="38.25" x14ac:dyDescent="0.25">
      <c r="A566" s="16" t="s">
        <v>104</v>
      </c>
      <c r="B566" s="16" t="s">
        <v>99</v>
      </c>
      <c r="C566" s="57" t="s">
        <v>554</v>
      </c>
      <c r="D566" s="16"/>
      <c r="E566" s="54" t="s">
        <v>511</v>
      </c>
      <c r="F566" s="224">
        <f>F567</f>
        <v>104.2</v>
      </c>
      <c r="G566" s="224">
        <f>G567</f>
        <v>75</v>
      </c>
      <c r="H566" s="224">
        <f>H567</f>
        <v>75</v>
      </c>
    </row>
    <row r="567" spans="1:10" s="20" customFormat="1" ht="15" x14ac:dyDescent="0.25">
      <c r="A567" s="16" t="s">
        <v>104</v>
      </c>
      <c r="B567" s="16" t="s">
        <v>99</v>
      </c>
      <c r="C567" s="57" t="s">
        <v>554</v>
      </c>
      <c r="D567" s="21" t="s">
        <v>225</v>
      </c>
      <c r="E567" s="98" t="s">
        <v>224</v>
      </c>
      <c r="F567" s="224">
        <f>75+29.2</f>
        <v>104.2</v>
      </c>
      <c r="G567" s="224">
        <v>75</v>
      </c>
      <c r="H567" s="224">
        <v>75</v>
      </c>
    </row>
    <row r="568" spans="1:10" s="20" customFormat="1" ht="63.75" x14ac:dyDescent="0.25">
      <c r="A568" s="16" t="s">
        <v>104</v>
      </c>
      <c r="B568" s="16" t="s">
        <v>99</v>
      </c>
      <c r="C568" s="80">
        <v>140323020</v>
      </c>
      <c r="D568" s="82"/>
      <c r="E568" s="98" t="s">
        <v>133</v>
      </c>
      <c r="F568" s="113">
        <f>F569</f>
        <v>304.5</v>
      </c>
      <c r="G568" s="113">
        <f>G569</f>
        <v>297.60000000000002</v>
      </c>
      <c r="H568" s="113">
        <f>H569</f>
        <v>297.60000000000002</v>
      </c>
    </row>
    <row r="569" spans="1:10" s="20" customFormat="1" ht="38.25" x14ac:dyDescent="0.25">
      <c r="A569" s="16" t="s">
        <v>104</v>
      </c>
      <c r="B569" s="16" t="s">
        <v>99</v>
      </c>
      <c r="C569" s="80">
        <v>140323020</v>
      </c>
      <c r="D569" s="82" t="s">
        <v>211</v>
      </c>
      <c r="E569" s="98" t="s">
        <v>212</v>
      </c>
      <c r="F569" s="113">
        <f>297.6+6.9</f>
        <v>304.5</v>
      </c>
      <c r="G569" s="113">
        <v>297.60000000000002</v>
      </c>
      <c r="H569" s="113">
        <v>297.60000000000002</v>
      </c>
    </row>
    <row r="570" spans="1:10" s="20" customFormat="1" ht="90" customHeight="1" x14ac:dyDescent="0.25">
      <c r="A570" s="16" t="s">
        <v>104</v>
      </c>
      <c r="B570" s="16" t="s">
        <v>99</v>
      </c>
      <c r="C570" s="80">
        <v>140323025</v>
      </c>
      <c r="D570" s="82"/>
      <c r="E570" s="98" t="s">
        <v>738</v>
      </c>
      <c r="F570" s="113">
        <f>SUM(F571:F572)</f>
        <v>479.3</v>
      </c>
      <c r="G570" s="113">
        <f t="shared" ref="G570:H570" si="150">SUM(G571:G572)</f>
        <v>479.3</v>
      </c>
      <c r="H570" s="113">
        <f t="shared" si="150"/>
        <v>479.3</v>
      </c>
    </row>
    <row r="571" spans="1:10" s="20" customFormat="1" ht="38.25" x14ac:dyDescent="0.25">
      <c r="A571" s="16" t="s">
        <v>104</v>
      </c>
      <c r="B571" s="16" t="s">
        <v>99</v>
      </c>
      <c r="C571" s="80">
        <v>140323025</v>
      </c>
      <c r="D571" s="82" t="s">
        <v>211</v>
      </c>
      <c r="E571" s="98" t="s">
        <v>212</v>
      </c>
      <c r="F571" s="113">
        <v>444.3</v>
      </c>
      <c r="G571" s="113">
        <v>444.3</v>
      </c>
      <c r="H571" s="113">
        <v>444.3</v>
      </c>
    </row>
    <row r="572" spans="1:10" s="20" customFormat="1" ht="15" x14ac:dyDescent="0.25">
      <c r="A572" s="16" t="s">
        <v>104</v>
      </c>
      <c r="B572" s="16" t="s">
        <v>99</v>
      </c>
      <c r="C572" s="80">
        <v>140323025</v>
      </c>
      <c r="D572" s="82" t="s">
        <v>632</v>
      </c>
      <c r="E572" s="98" t="s">
        <v>633</v>
      </c>
      <c r="F572" s="113">
        <v>35</v>
      </c>
      <c r="G572" s="113">
        <v>35</v>
      </c>
      <c r="H572" s="113">
        <v>35</v>
      </c>
    </row>
    <row r="573" spans="1:10" s="20" customFormat="1" ht="63.75" x14ac:dyDescent="0.25">
      <c r="A573" s="16" t="s">
        <v>104</v>
      </c>
      <c r="B573" s="16" t="s">
        <v>99</v>
      </c>
      <c r="C573" s="80" t="s">
        <v>434</v>
      </c>
      <c r="D573" s="82"/>
      <c r="E573" s="98" t="s">
        <v>435</v>
      </c>
      <c r="F573" s="113">
        <f>F574</f>
        <v>153.19999999999999</v>
      </c>
      <c r="G573" s="113">
        <f>G574</f>
        <v>153.19999999999999</v>
      </c>
      <c r="H573" s="113">
        <f>H574</f>
        <v>153.19999999999999</v>
      </c>
    </row>
    <row r="574" spans="1:10" s="20" customFormat="1" ht="38.25" x14ac:dyDescent="0.25">
      <c r="A574" s="16" t="s">
        <v>104</v>
      </c>
      <c r="B574" s="16" t="s">
        <v>99</v>
      </c>
      <c r="C574" s="80" t="s">
        <v>434</v>
      </c>
      <c r="D574" s="82" t="s">
        <v>211</v>
      </c>
      <c r="E574" s="98" t="s">
        <v>212</v>
      </c>
      <c r="F574" s="113">
        <f>90+63.2</f>
        <v>153.19999999999999</v>
      </c>
      <c r="G574" s="113">
        <f>90+63.2</f>
        <v>153.19999999999999</v>
      </c>
      <c r="H574" s="113">
        <f>90+63.2</f>
        <v>153.19999999999999</v>
      </c>
      <c r="J574" s="163"/>
    </row>
    <row r="575" spans="1:10" s="36" customFormat="1" ht="38.25" x14ac:dyDescent="0.2">
      <c r="A575" s="16" t="s">
        <v>104</v>
      </c>
      <c r="B575" s="16" t="s">
        <v>99</v>
      </c>
      <c r="C575" s="80">
        <v>140311080</v>
      </c>
      <c r="D575" s="82"/>
      <c r="E575" s="98" t="s">
        <v>436</v>
      </c>
      <c r="F575" s="113">
        <f>F576</f>
        <v>150.80000000000001</v>
      </c>
      <c r="G575" s="113">
        <f>G576</f>
        <v>150.80000000000001</v>
      </c>
      <c r="H575" s="113">
        <f>H576</f>
        <v>150.80000000000001</v>
      </c>
    </row>
    <row r="576" spans="1:10" ht="38.25" x14ac:dyDescent="0.2">
      <c r="A576" s="16" t="s">
        <v>104</v>
      </c>
      <c r="B576" s="16" t="s">
        <v>99</v>
      </c>
      <c r="C576" s="80">
        <v>140311080</v>
      </c>
      <c r="D576" s="82" t="s">
        <v>211</v>
      </c>
      <c r="E576" s="98" t="s">
        <v>212</v>
      </c>
      <c r="F576" s="220">
        <v>150.80000000000001</v>
      </c>
      <c r="G576" s="220">
        <v>150.80000000000001</v>
      </c>
      <c r="H576" s="220">
        <v>150.80000000000001</v>
      </c>
    </row>
    <row r="577" spans="1:12" ht="63.75" x14ac:dyDescent="0.2">
      <c r="A577" s="16" t="s">
        <v>104</v>
      </c>
      <c r="B577" s="16" t="s">
        <v>99</v>
      </c>
      <c r="C577" s="21" t="s">
        <v>750</v>
      </c>
      <c r="D577" s="82"/>
      <c r="E577" s="130" t="s">
        <v>751</v>
      </c>
      <c r="F577" s="220">
        <f>F578</f>
        <v>50</v>
      </c>
      <c r="G577" s="220">
        <v>0</v>
      </c>
      <c r="H577" s="220">
        <v>0</v>
      </c>
    </row>
    <row r="578" spans="1:12" ht="38.25" x14ac:dyDescent="0.2">
      <c r="A578" s="16" t="s">
        <v>104</v>
      </c>
      <c r="B578" s="16" t="s">
        <v>99</v>
      </c>
      <c r="C578" s="21" t="s">
        <v>750</v>
      </c>
      <c r="D578" s="82" t="s">
        <v>211</v>
      </c>
      <c r="E578" s="98" t="s">
        <v>212</v>
      </c>
      <c r="F578" s="220">
        <v>50</v>
      </c>
      <c r="G578" s="220">
        <v>0</v>
      </c>
      <c r="H578" s="220">
        <v>0</v>
      </c>
    </row>
    <row r="579" spans="1:12" x14ac:dyDescent="0.2">
      <c r="A579" s="16" t="s">
        <v>104</v>
      </c>
      <c r="B579" s="16" t="s">
        <v>99</v>
      </c>
      <c r="C579" s="52" t="s">
        <v>76</v>
      </c>
      <c r="D579" s="16"/>
      <c r="E579" s="66" t="s">
        <v>46</v>
      </c>
      <c r="F579" s="119">
        <f>F580</f>
        <v>9055.9</v>
      </c>
      <c r="G579" s="119">
        <f>G580</f>
        <v>8745.1999999999989</v>
      </c>
      <c r="H579" s="119">
        <f>H580</f>
        <v>8745.1999999999989</v>
      </c>
    </row>
    <row r="580" spans="1:12" ht="63.75" x14ac:dyDescent="0.2">
      <c r="A580" s="16" t="s">
        <v>104</v>
      </c>
      <c r="B580" s="16" t="s">
        <v>99</v>
      </c>
      <c r="C580" s="80">
        <v>190022200</v>
      </c>
      <c r="D580" s="82"/>
      <c r="E580" s="98" t="s">
        <v>437</v>
      </c>
      <c r="F580" s="113">
        <f>SUM(F581:F583)</f>
        <v>9055.9</v>
      </c>
      <c r="G580" s="113">
        <f t="shared" ref="G580:H580" si="151">SUM(G581:G583)</f>
        <v>8745.1999999999989</v>
      </c>
      <c r="H580" s="113">
        <f t="shared" si="151"/>
        <v>8745.1999999999989</v>
      </c>
    </row>
    <row r="581" spans="1:12" ht="38.25" x14ac:dyDescent="0.2">
      <c r="A581" s="16" t="s">
        <v>104</v>
      </c>
      <c r="B581" s="16" t="s">
        <v>99</v>
      </c>
      <c r="C581" s="80">
        <v>190022200</v>
      </c>
      <c r="D581" s="16" t="s">
        <v>62</v>
      </c>
      <c r="E581" s="55" t="s">
        <v>63</v>
      </c>
      <c r="F581" s="113">
        <f>8258.3+301.7</f>
        <v>8560</v>
      </c>
      <c r="G581" s="113">
        <v>8258.2999999999993</v>
      </c>
      <c r="H581" s="113">
        <v>8258.2999999999993</v>
      </c>
    </row>
    <row r="582" spans="1:12" ht="38.25" x14ac:dyDescent="0.2">
      <c r="A582" s="16" t="s">
        <v>104</v>
      </c>
      <c r="B582" s="16" t="s">
        <v>99</v>
      </c>
      <c r="C582" s="80">
        <v>190022200</v>
      </c>
      <c r="D582" s="82" t="s">
        <v>211</v>
      </c>
      <c r="E582" s="98" t="s">
        <v>212</v>
      </c>
      <c r="F582" s="113">
        <v>486.9</v>
      </c>
      <c r="G582" s="113">
        <v>486.9</v>
      </c>
      <c r="H582" s="113">
        <v>486.9</v>
      </c>
    </row>
    <row r="583" spans="1:12" ht="38.25" x14ac:dyDescent="0.2">
      <c r="A583" s="16" t="s">
        <v>104</v>
      </c>
      <c r="B583" s="16" t="s">
        <v>99</v>
      </c>
      <c r="C583" s="80">
        <v>190022200</v>
      </c>
      <c r="D583" s="82" t="s">
        <v>260</v>
      </c>
      <c r="E583" s="98" t="s">
        <v>249</v>
      </c>
      <c r="F583" s="113">
        <v>9</v>
      </c>
      <c r="G583" s="113">
        <v>0</v>
      </c>
      <c r="H583" s="113">
        <v>0</v>
      </c>
    </row>
    <row r="584" spans="1:12" ht="15.75" x14ac:dyDescent="0.25">
      <c r="A584" s="4" t="s">
        <v>101</v>
      </c>
      <c r="B584" s="3"/>
      <c r="C584" s="3"/>
      <c r="D584" s="3"/>
      <c r="E584" s="49" t="s">
        <v>20</v>
      </c>
      <c r="F584" s="218">
        <f>F585+F617</f>
        <v>109818.4</v>
      </c>
      <c r="G584" s="218">
        <f>G585+G617</f>
        <v>96314.5</v>
      </c>
      <c r="H584" s="218">
        <f>H585+H617</f>
        <v>100585.9</v>
      </c>
    </row>
    <row r="585" spans="1:12" s="37" customFormat="1" ht="14.25" x14ac:dyDescent="0.2">
      <c r="A585" s="35" t="s">
        <v>101</v>
      </c>
      <c r="B585" s="35" t="s">
        <v>88</v>
      </c>
      <c r="C585" s="35"/>
      <c r="D585" s="35"/>
      <c r="E585" s="45" t="s">
        <v>106</v>
      </c>
      <c r="F585" s="222">
        <f>F586+F612</f>
        <v>105579.79999999999</v>
      </c>
      <c r="G585" s="222">
        <f>G586+G612</f>
        <v>92286</v>
      </c>
      <c r="H585" s="222">
        <f>H586+H612</f>
        <v>96557.4</v>
      </c>
    </row>
    <row r="586" spans="1:12" s="37" customFormat="1" ht="90" x14ac:dyDescent="0.25">
      <c r="A586" s="16" t="s">
        <v>101</v>
      </c>
      <c r="B586" s="16" t="s">
        <v>88</v>
      </c>
      <c r="C586" s="73" t="s">
        <v>59</v>
      </c>
      <c r="D586" s="35"/>
      <c r="E586" s="53" t="s">
        <v>572</v>
      </c>
      <c r="F586" s="231">
        <f t="shared" ref="F586:H586" si="152">F587</f>
        <v>105349.79999999999</v>
      </c>
      <c r="G586" s="231">
        <f t="shared" si="152"/>
        <v>92286</v>
      </c>
      <c r="H586" s="231">
        <f t="shared" si="152"/>
        <v>96557.4</v>
      </c>
    </row>
    <row r="587" spans="1:12" s="37" customFormat="1" ht="25.5" x14ac:dyDescent="0.2">
      <c r="A587" s="16" t="s">
        <v>101</v>
      </c>
      <c r="B587" s="16" t="s">
        <v>88</v>
      </c>
      <c r="C587" s="21" t="s">
        <v>60</v>
      </c>
      <c r="D587" s="35"/>
      <c r="E587" s="48" t="s">
        <v>171</v>
      </c>
      <c r="F587" s="226">
        <f>F588+F592+F594+F597+F600+F602+F604+F606+F608+F610</f>
        <v>105349.79999999999</v>
      </c>
      <c r="G587" s="226">
        <f t="shared" ref="G587:H587" si="153">G588+G592+G594+G597+G600+G602+G604+G606+G608+G610</f>
        <v>92286</v>
      </c>
      <c r="H587" s="226">
        <f t="shared" si="153"/>
        <v>96557.4</v>
      </c>
    </row>
    <row r="588" spans="1:12" s="37" customFormat="1" ht="27" customHeight="1" x14ac:dyDescent="0.2">
      <c r="A588" s="16" t="s">
        <v>101</v>
      </c>
      <c r="B588" s="16" t="s">
        <v>88</v>
      </c>
      <c r="C588" s="74">
        <v>210122900</v>
      </c>
      <c r="D588" s="16"/>
      <c r="E588" s="99" t="s">
        <v>170</v>
      </c>
      <c r="F588" s="220">
        <f>F589+F590+F591</f>
        <v>12386.8</v>
      </c>
      <c r="G588" s="220">
        <f t="shared" ref="G588:H588" si="154">G589+G590+G591</f>
        <v>11779.7</v>
      </c>
      <c r="H588" s="220">
        <f t="shared" si="154"/>
        <v>11744.7</v>
      </c>
    </row>
    <row r="589" spans="1:12" s="37" customFormat="1" ht="25.5" x14ac:dyDescent="0.2">
      <c r="A589" s="16" t="s">
        <v>101</v>
      </c>
      <c r="B589" s="16" t="s">
        <v>88</v>
      </c>
      <c r="C589" s="74">
        <v>210122900</v>
      </c>
      <c r="D589" s="82" t="s">
        <v>64</v>
      </c>
      <c r="E589" s="55" t="s">
        <v>130</v>
      </c>
      <c r="F589" s="220">
        <f>5295.8-160.5-13.7-38.3</f>
        <v>5083.3</v>
      </c>
      <c r="G589" s="220">
        <f>5295.8-13.7-46.3</f>
        <v>5235.8</v>
      </c>
      <c r="H589" s="220">
        <f>5295.8-13.7-81.3</f>
        <v>5200.8</v>
      </c>
      <c r="J589" s="149"/>
    </row>
    <row r="590" spans="1:12" s="37" customFormat="1" ht="38.25" x14ac:dyDescent="0.2">
      <c r="A590" s="16" t="s">
        <v>101</v>
      </c>
      <c r="B590" s="16" t="s">
        <v>88</v>
      </c>
      <c r="C590" s="74">
        <v>210122900</v>
      </c>
      <c r="D590" s="82" t="s">
        <v>211</v>
      </c>
      <c r="E590" s="98" t="s">
        <v>212</v>
      </c>
      <c r="F590" s="220">
        <f>6543.9-13.4-1+612.5+1</f>
        <v>7143</v>
      </c>
      <c r="G590" s="220">
        <v>6543.9</v>
      </c>
      <c r="H590" s="220">
        <v>6543.9</v>
      </c>
    </row>
    <row r="591" spans="1:12" s="37" customFormat="1" ht="38.25" x14ac:dyDescent="0.2">
      <c r="A591" s="16" t="s">
        <v>101</v>
      </c>
      <c r="B591" s="16" t="s">
        <v>88</v>
      </c>
      <c r="C591" s="74">
        <v>210122900</v>
      </c>
      <c r="D591" s="82" t="s">
        <v>260</v>
      </c>
      <c r="E591" s="98" t="s">
        <v>249</v>
      </c>
      <c r="F591" s="220">
        <v>160.5</v>
      </c>
      <c r="G591" s="220">
        <v>0</v>
      </c>
      <c r="H591" s="220">
        <v>0</v>
      </c>
    </row>
    <row r="592" spans="1:12" s="37" customFormat="1" ht="51" x14ac:dyDescent="0.2">
      <c r="A592" s="16" t="s">
        <v>101</v>
      </c>
      <c r="B592" s="16" t="s">
        <v>88</v>
      </c>
      <c r="C592" s="74">
        <v>210121100</v>
      </c>
      <c r="D592" s="16"/>
      <c r="E592" s="99" t="s">
        <v>172</v>
      </c>
      <c r="F592" s="220">
        <f>F593</f>
        <v>34822.6</v>
      </c>
      <c r="G592" s="220">
        <f>G593</f>
        <v>31026.9</v>
      </c>
      <c r="H592" s="220">
        <f>H593</f>
        <v>32211.9</v>
      </c>
      <c r="J592" s="149"/>
      <c r="K592" s="149"/>
      <c r="L592" s="149"/>
    </row>
    <row r="593" spans="1:10" s="37" customFormat="1" ht="14.25" x14ac:dyDescent="0.2">
      <c r="A593" s="16" t="s">
        <v>101</v>
      </c>
      <c r="B593" s="16" t="s">
        <v>88</v>
      </c>
      <c r="C593" s="74">
        <v>210121100</v>
      </c>
      <c r="D593" s="21" t="s">
        <v>225</v>
      </c>
      <c r="E593" s="98" t="s">
        <v>224</v>
      </c>
      <c r="F593" s="220">
        <f>34169.2+1174.4-1000-16.3+600-104.7</f>
        <v>34822.6</v>
      </c>
      <c r="G593" s="220">
        <f>31189.9-16.3-146.7</f>
        <v>31026.9</v>
      </c>
      <c r="H593" s="220">
        <f>32389.9-16.3-161.7</f>
        <v>32211.9</v>
      </c>
    </row>
    <row r="594" spans="1:10" s="37" customFormat="1" ht="51" x14ac:dyDescent="0.2">
      <c r="A594" s="16" t="s">
        <v>101</v>
      </c>
      <c r="B594" s="16" t="s">
        <v>88</v>
      </c>
      <c r="C594" s="74" t="s">
        <v>438</v>
      </c>
      <c r="D594" s="82"/>
      <c r="E594" s="98" t="s">
        <v>313</v>
      </c>
      <c r="F594" s="220">
        <f>SUM(F595:F596)</f>
        <v>500</v>
      </c>
      <c r="G594" s="220">
        <f>SUM(G595:G596)</f>
        <v>550</v>
      </c>
      <c r="H594" s="220">
        <f>SUM(H595:H596)</f>
        <v>600</v>
      </c>
      <c r="J594" s="149"/>
    </row>
    <row r="595" spans="1:10" s="37" customFormat="1" ht="25.5" x14ac:dyDescent="0.2">
      <c r="A595" s="16" t="s">
        <v>101</v>
      </c>
      <c r="B595" s="16" t="s">
        <v>88</v>
      </c>
      <c r="C595" s="74" t="s">
        <v>438</v>
      </c>
      <c r="D595" s="82" t="s">
        <v>64</v>
      </c>
      <c r="E595" s="55" t="s">
        <v>130</v>
      </c>
      <c r="F595" s="220">
        <f>95+13.7+38.3</f>
        <v>147</v>
      </c>
      <c r="G595" s="220">
        <f>95+13.7+46.3</f>
        <v>155</v>
      </c>
      <c r="H595" s="220">
        <f>95+13.7+81.3</f>
        <v>190</v>
      </c>
    </row>
    <row r="596" spans="1:10" s="37" customFormat="1" ht="14.25" x14ac:dyDescent="0.2">
      <c r="A596" s="16" t="s">
        <v>101</v>
      </c>
      <c r="B596" s="16" t="s">
        <v>88</v>
      </c>
      <c r="C596" s="74" t="s">
        <v>438</v>
      </c>
      <c r="D596" s="21" t="s">
        <v>225</v>
      </c>
      <c r="E596" s="98" t="s">
        <v>224</v>
      </c>
      <c r="F596" s="220">
        <f>232+16.3+104.7</f>
        <v>353</v>
      </c>
      <c r="G596" s="220">
        <f>232+16.3+146.7</f>
        <v>395</v>
      </c>
      <c r="H596" s="220">
        <f>232+16.3+161.7</f>
        <v>410</v>
      </c>
    </row>
    <row r="597" spans="1:10" s="37" customFormat="1" ht="51" x14ac:dyDescent="0.2">
      <c r="A597" s="16" t="s">
        <v>101</v>
      </c>
      <c r="B597" s="16" t="s">
        <v>88</v>
      </c>
      <c r="C597" s="74">
        <v>210110680</v>
      </c>
      <c r="D597" s="82"/>
      <c r="E597" s="98" t="s">
        <v>351</v>
      </c>
      <c r="F597" s="220">
        <f>SUM(F598:F599)</f>
        <v>41503.899999999994</v>
      </c>
      <c r="G597" s="220">
        <f t="shared" ref="G597:H597" si="155">SUM(G598:G599)</f>
        <v>46833.399999999994</v>
      </c>
      <c r="H597" s="220">
        <f t="shared" si="155"/>
        <v>51964.799999999996</v>
      </c>
      <c r="J597" s="149"/>
    </row>
    <row r="598" spans="1:10" s="37" customFormat="1" ht="25.5" x14ac:dyDescent="0.2">
      <c r="A598" s="16" t="s">
        <v>101</v>
      </c>
      <c r="B598" s="16" t="s">
        <v>88</v>
      </c>
      <c r="C598" s="74">
        <v>210110680</v>
      </c>
      <c r="D598" s="82" t="s">
        <v>64</v>
      </c>
      <c r="E598" s="55" t="s">
        <v>130</v>
      </c>
      <c r="F598" s="220">
        <f>9388.4+1377.5+1680.1</f>
        <v>12446</v>
      </c>
      <c r="G598" s="220">
        <f>9388.4+1377.5+3278.1</f>
        <v>14044</v>
      </c>
      <c r="H598" s="220">
        <f>9388.4+1377.5+4817.2</f>
        <v>15583.099999999999</v>
      </c>
    </row>
    <row r="599" spans="1:10" s="37" customFormat="1" ht="14.25" x14ac:dyDescent="0.2">
      <c r="A599" s="16" t="s">
        <v>101</v>
      </c>
      <c r="B599" s="16" t="s">
        <v>88</v>
      </c>
      <c r="C599" s="74">
        <v>210110680</v>
      </c>
      <c r="D599" s="21" t="s">
        <v>225</v>
      </c>
      <c r="E599" s="98" t="s">
        <v>224</v>
      </c>
      <c r="F599" s="220">
        <f>22918.8+1651.8+4487.3</f>
        <v>29057.899999999998</v>
      </c>
      <c r="G599" s="220">
        <f>22918.8+1651.8+8218.8</f>
        <v>32789.399999999994</v>
      </c>
      <c r="H599" s="220">
        <f>22918.8+1651.8+11811.1</f>
        <v>36381.699999999997</v>
      </c>
    </row>
    <row r="600" spans="1:10" s="37" customFormat="1" ht="78" customHeight="1" x14ac:dyDescent="0.2">
      <c r="A600" s="16" t="s">
        <v>101</v>
      </c>
      <c r="B600" s="16" t="s">
        <v>88</v>
      </c>
      <c r="C600" s="74" t="s">
        <v>744</v>
      </c>
      <c r="D600" s="21"/>
      <c r="E600" s="172" t="s">
        <v>745</v>
      </c>
      <c r="F600" s="220">
        <f>F601</f>
        <v>113.4</v>
      </c>
      <c r="G600" s="220">
        <v>0</v>
      </c>
      <c r="H600" s="220">
        <v>0</v>
      </c>
    </row>
    <row r="601" spans="1:10" s="37" customFormat="1" ht="38.25" x14ac:dyDescent="0.2">
      <c r="A601" s="16" t="s">
        <v>101</v>
      </c>
      <c r="B601" s="16" t="s">
        <v>88</v>
      </c>
      <c r="C601" s="74" t="s">
        <v>744</v>
      </c>
      <c r="D601" s="21" t="s">
        <v>211</v>
      </c>
      <c r="E601" s="98" t="s">
        <v>212</v>
      </c>
      <c r="F601" s="220">
        <f>13.4+100</f>
        <v>113.4</v>
      </c>
      <c r="G601" s="220">
        <v>0</v>
      </c>
      <c r="H601" s="220">
        <v>0</v>
      </c>
    </row>
    <row r="602" spans="1:10" s="37" customFormat="1" ht="51" x14ac:dyDescent="0.2">
      <c r="A602" s="16" t="s">
        <v>101</v>
      </c>
      <c r="B602" s="16" t="s">
        <v>88</v>
      </c>
      <c r="C602" s="125" t="s">
        <v>441</v>
      </c>
      <c r="D602" s="82"/>
      <c r="E602" s="130" t="s">
        <v>366</v>
      </c>
      <c r="F602" s="220">
        <f>F603</f>
        <v>192.1</v>
      </c>
      <c r="G602" s="220">
        <f>G603</f>
        <v>35</v>
      </c>
      <c r="H602" s="220">
        <f>H603</f>
        <v>35</v>
      </c>
    </row>
    <row r="603" spans="1:10" s="37" customFormat="1" ht="14.25" x14ac:dyDescent="0.2">
      <c r="A603" s="16" t="s">
        <v>101</v>
      </c>
      <c r="B603" s="16" t="s">
        <v>88</v>
      </c>
      <c r="C603" s="125" t="s">
        <v>441</v>
      </c>
      <c r="D603" s="21" t="s">
        <v>225</v>
      </c>
      <c r="E603" s="98" t="s">
        <v>224</v>
      </c>
      <c r="F603" s="220">
        <f>4+188.1</f>
        <v>192.1</v>
      </c>
      <c r="G603" s="220">
        <v>35</v>
      </c>
      <c r="H603" s="220">
        <v>35</v>
      </c>
    </row>
    <row r="604" spans="1:10" s="37" customFormat="1" ht="51" x14ac:dyDescent="0.2">
      <c r="A604" s="16" t="s">
        <v>101</v>
      </c>
      <c r="B604" s="16" t="s">
        <v>88</v>
      </c>
      <c r="C604" s="133" t="s">
        <v>721</v>
      </c>
      <c r="D604" s="21"/>
      <c r="E604" s="98" t="s">
        <v>722</v>
      </c>
      <c r="F604" s="220">
        <f>F605</f>
        <v>3121.6999999999994</v>
      </c>
      <c r="G604" s="220">
        <f>G605</f>
        <v>2060</v>
      </c>
      <c r="H604" s="220">
        <f>H605</f>
        <v>0</v>
      </c>
    </row>
    <row r="605" spans="1:10" s="37" customFormat="1" ht="14.25" x14ac:dyDescent="0.2">
      <c r="A605" s="16" t="s">
        <v>101</v>
      </c>
      <c r="B605" s="16" t="s">
        <v>88</v>
      </c>
      <c r="C605" s="133" t="s">
        <v>721</v>
      </c>
      <c r="D605" s="21" t="s">
        <v>225</v>
      </c>
      <c r="E605" s="98" t="s">
        <v>224</v>
      </c>
      <c r="F605" s="220">
        <f>192+2060.1+2929.7-2060.1</f>
        <v>3121.6999999999994</v>
      </c>
      <c r="G605" s="220">
        <v>2060</v>
      </c>
      <c r="H605" s="220">
        <v>0</v>
      </c>
    </row>
    <row r="606" spans="1:10" s="37" customFormat="1" ht="38.25" x14ac:dyDescent="0.2">
      <c r="A606" s="16" t="s">
        <v>101</v>
      </c>
      <c r="B606" s="16" t="s">
        <v>88</v>
      </c>
      <c r="C606" s="162" t="s">
        <v>757</v>
      </c>
      <c r="D606" s="82"/>
      <c r="E606" s="124" t="s">
        <v>754</v>
      </c>
      <c r="F606" s="220">
        <f>F607</f>
        <v>200</v>
      </c>
      <c r="G606" s="220">
        <f t="shared" ref="G606:H606" si="156">G607</f>
        <v>0</v>
      </c>
      <c r="H606" s="220">
        <f t="shared" si="156"/>
        <v>0</v>
      </c>
    </row>
    <row r="607" spans="1:10" s="37" customFormat="1" ht="14.25" x14ac:dyDescent="0.2">
      <c r="A607" s="16" t="s">
        <v>101</v>
      </c>
      <c r="B607" s="16" t="s">
        <v>88</v>
      </c>
      <c r="C607" s="162" t="s">
        <v>757</v>
      </c>
      <c r="D607" s="21" t="s">
        <v>225</v>
      </c>
      <c r="E607" s="98" t="s">
        <v>224</v>
      </c>
      <c r="F607" s="220">
        <v>200</v>
      </c>
      <c r="G607" s="220">
        <v>0</v>
      </c>
      <c r="H607" s="220">
        <v>0</v>
      </c>
    </row>
    <row r="608" spans="1:10" s="37" customFormat="1" ht="25.5" x14ac:dyDescent="0.2">
      <c r="A608" s="16" t="s">
        <v>101</v>
      </c>
      <c r="B608" s="16" t="s">
        <v>88</v>
      </c>
      <c r="C608" s="125" t="s">
        <v>671</v>
      </c>
      <c r="D608" s="21"/>
      <c r="E608" s="124" t="s">
        <v>672</v>
      </c>
      <c r="F608" s="220">
        <f>F609</f>
        <v>12509.300000000001</v>
      </c>
      <c r="G608" s="220">
        <f t="shared" ref="G608:H608" si="157">G609</f>
        <v>0</v>
      </c>
      <c r="H608" s="220">
        <f t="shared" si="157"/>
        <v>0</v>
      </c>
    </row>
    <row r="609" spans="1:8" s="37" customFormat="1" ht="14.25" x14ac:dyDescent="0.2">
      <c r="A609" s="16" t="s">
        <v>101</v>
      </c>
      <c r="B609" s="16" t="s">
        <v>88</v>
      </c>
      <c r="C609" s="125" t="s">
        <v>671</v>
      </c>
      <c r="D609" s="21" t="s">
        <v>225</v>
      </c>
      <c r="E609" s="98" t="s">
        <v>224</v>
      </c>
      <c r="F609" s="220">
        <f>125.1+12384.2</f>
        <v>12509.300000000001</v>
      </c>
      <c r="G609" s="220">
        <v>0</v>
      </c>
      <c r="H609" s="220">
        <v>0</v>
      </c>
    </row>
    <row r="610" spans="1:8" s="154" customFormat="1" ht="63.75" x14ac:dyDescent="0.2">
      <c r="A610" s="150" t="s">
        <v>101</v>
      </c>
      <c r="B610" s="150" t="s">
        <v>88</v>
      </c>
      <c r="C610" s="151" t="s">
        <v>445</v>
      </c>
      <c r="D610" s="152"/>
      <c r="E610" s="153" t="s">
        <v>444</v>
      </c>
      <c r="F610" s="220">
        <f>F611</f>
        <v>0</v>
      </c>
      <c r="G610" s="220">
        <f t="shared" ref="G610:H610" si="158">G611</f>
        <v>1</v>
      </c>
      <c r="H610" s="220">
        <f t="shared" si="158"/>
        <v>1</v>
      </c>
    </row>
    <row r="611" spans="1:8" s="37" customFormat="1" ht="14.25" x14ac:dyDescent="0.2">
      <c r="A611" s="16" t="s">
        <v>101</v>
      </c>
      <c r="B611" s="16" t="s">
        <v>88</v>
      </c>
      <c r="C611" s="133" t="s">
        <v>445</v>
      </c>
      <c r="D611" s="21" t="s">
        <v>225</v>
      </c>
      <c r="E611" s="98" t="s">
        <v>224</v>
      </c>
      <c r="F611" s="220">
        <f>1-1</f>
        <v>0</v>
      </c>
      <c r="G611" s="220">
        <v>1</v>
      </c>
      <c r="H611" s="220">
        <v>1</v>
      </c>
    </row>
    <row r="612" spans="1:8" s="37" customFormat="1" ht="38.25" x14ac:dyDescent="0.2">
      <c r="A612" s="16" t="s">
        <v>101</v>
      </c>
      <c r="B612" s="16" t="s">
        <v>88</v>
      </c>
      <c r="C612" s="82" t="s">
        <v>24</v>
      </c>
      <c r="D612" s="82"/>
      <c r="E612" s="99" t="s">
        <v>38</v>
      </c>
      <c r="F612" s="113">
        <f>F613+F615</f>
        <v>230</v>
      </c>
      <c r="G612" s="113">
        <f t="shared" ref="G612:H612" si="159">G613</f>
        <v>0</v>
      </c>
      <c r="H612" s="113">
        <f t="shared" si="159"/>
        <v>0</v>
      </c>
    </row>
    <row r="613" spans="1:8" s="37" customFormat="1" ht="51.75" customHeight="1" x14ac:dyDescent="0.2">
      <c r="A613" s="16" t="s">
        <v>101</v>
      </c>
      <c r="B613" s="16" t="s">
        <v>88</v>
      </c>
      <c r="C613" s="82" t="s">
        <v>568</v>
      </c>
      <c r="D613" s="16"/>
      <c r="E613" s="54" t="s">
        <v>570</v>
      </c>
      <c r="F613" s="113">
        <f>SUM(F614:F614)</f>
        <v>50</v>
      </c>
      <c r="G613" s="113">
        <f>SUM(G614:G614)</f>
        <v>0</v>
      </c>
      <c r="H613" s="113">
        <f>SUM(H614:H614)</f>
        <v>0</v>
      </c>
    </row>
    <row r="614" spans="1:8" s="37" customFormat="1" ht="14.25" x14ac:dyDescent="0.2">
      <c r="A614" s="16" t="s">
        <v>101</v>
      </c>
      <c r="B614" s="16" t="s">
        <v>88</v>
      </c>
      <c r="C614" s="82" t="s">
        <v>568</v>
      </c>
      <c r="D614" s="21" t="s">
        <v>225</v>
      </c>
      <c r="E614" s="98" t="s">
        <v>224</v>
      </c>
      <c r="F614" s="220">
        <v>50</v>
      </c>
      <c r="G614" s="220">
        <v>0</v>
      </c>
      <c r="H614" s="220">
        <v>0</v>
      </c>
    </row>
    <row r="615" spans="1:8" s="37" customFormat="1" ht="51" x14ac:dyDescent="0.2">
      <c r="A615" s="16" t="s">
        <v>101</v>
      </c>
      <c r="B615" s="16" t="s">
        <v>88</v>
      </c>
      <c r="C615" s="82" t="s">
        <v>567</v>
      </c>
      <c r="D615" s="21"/>
      <c r="E615" s="54" t="s">
        <v>566</v>
      </c>
      <c r="F615" s="220">
        <f>F616</f>
        <v>180</v>
      </c>
      <c r="G615" s="220">
        <f t="shared" ref="G615:H615" si="160">G616</f>
        <v>0</v>
      </c>
      <c r="H615" s="220">
        <f t="shared" si="160"/>
        <v>0</v>
      </c>
    </row>
    <row r="616" spans="1:8" s="37" customFormat="1" ht="38.25" x14ac:dyDescent="0.2">
      <c r="A616" s="16" t="s">
        <v>101</v>
      </c>
      <c r="B616" s="16" t="s">
        <v>88</v>
      </c>
      <c r="C616" s="82" t="s">
        <v>567</v>
      </c>
      <c r="D616" s="82" t="s">
        <v>211</v>
      </c>
      <c r="E616" s="98" t="s">
        <v>212</v>
      </c>
      <c r="F616" s="220">
        <v>180</v>
      </c>
      <c r="G616" s="220">
        <v>0</v>
      </c>
      <c r="H616" s="220">
        <v>0</v>
      </c>
    </row>
    <row r="617" spans="1:8" ht="25.5" x14ac:dyDescent="0.2">
      <c r="A617" s="35" t="s">
        <v>101</v>
      </c>
      <c r="B617" s="35" t="s">
        <v>94</v>
      </c>
      <c r="C617" s="35"/>
      <c r="D617" s="35"/>
      <c r="E617" s="46" t="s">
        <v>7</v>
      </c>
      <c r="F617" s="222">
        <f>F618</f>
        <v>4238.6000000000004</v>
      </c>
      <c r="G617" s="222">
        <f t="shared" ref="G617:H617" si="161">G618</f>
        <v>4028.5</v>
      </c>
      <c r="H617" s="222">
        <f t="shared" si="161"/>
        <v>4028.5</v>
      </c>
    </row>
    <row r="618" spans="1:8" ht="90" x14ac:dyDescent="0.25">
      <c r="A618" s="5" t="s">
        <v>101</v>
      </c>
      <c r="B618" s="5" t="s">
        <v>94</v>
      </c>
      <c r="C618" s="73" t="s">
        <v>59</v>
      </c>
      <c r="D618" s="35"/>
      <c r="E618" s="53" t="s">
        <v>572</v>
      </c>
      <c r="F618" s="231">
        <f>F619+F624</f>
        <v>4238.6000000000004</v>
      </c>
      <c r="G618" s="231">
        <f>G619+G624</f>
        <v>4028.5</v>
      </c>
      <c r="H618" s="231">
        <f>H619+H624</f>
        <v>4028.5</v>
      </c>
    </row>
    <row r="619" spans="1:8" ht="25.5" x14ac:dyDescent="0.2">
      <c r="A619" s="16" t="s">
        <v>101</v>
      </c>
      <c r="B619" s="16" t="s">
        <v>94</v>
      </c>
      <c r="C619" s="21" t="s">
        <v>60</v>
      </c>
      <c r="D619" s="35"/>
      <c r="E619" s="48" t="s">
        <v>171</v>
      </c>
      <c r="F619" s="222">
        <f>F620+F622</f>
        <v>674</v>
      </c>
      <c r="G619" s="222">
        <f t="shared" ref="G619:H619" si="162">G620</f>
        <v>574</v>
      </c>
      <c r="H619" s="222">
        <f t="shared" si="162"/>
        <v>574</v>
      </c>
    </row>
    <row r="620" spans="1:8" ht="51" x14ac:dyDescent="0.2">
      <c r="A620" s="16" t="s">
        <v>101</v>
      </c>
      <c r="B620" s="16" t="s">
        <v>94</v>
      </c>
      <c r="C620" s="21" t="s">
        <v>447</v>
      </c>
      <c r="D620" s="16"/>
      <c r="E620" s="98" t="s">
        <v>174</v>
      </c>
      <c r="F620" s="113">
        <f t="shared" ref="F620:H620" si="163">F621</f>
        <v>574</v>
      </c>
      <c r="G620" s="113">
        <f t="shared" si="163"/>
        <v>574</v>
      </c>
      <c r="H620" s="113">
        <f t="shared" si="163"/>
        <v>574</v>
      </c>
    </row>
    <row r="621" spans="1:8" ht="38.25" x14ac:dyDescent="0.2">
      <c r="A621" s="16" t="s">
        <v>101</v>
      </c>
      <c r="B621" s="16" t="s">
        <v>94</v>
      </c>
      <c r="C621" s="21" t="s">
        <v>447</v>
      </c>
      <c r="D621" s="82" t="s">
        <v>211</v>
      </c>
      <c r="E621" s="98" t="s">
        <v>212</v>
      </c>
      <c r="F621" s="113">
        <v>574</v>
      </c>
      <c r="G621" s="113">
        <v>574</v>
      </c>
      <c r="H621" s="113">
        <v>574</v>
      </c>
    </row>
    <row r="622" spans="1:8" ht="25.5" x14ac:dyDescent="0.2">
      <c r="A622" s="16" t="s">
        <v>101</v>
      </c>
      <c r="B622" s="16" t="s">
        <v>94</v>
      </c>
      <c r="C622" s="21" t="s">
        <v>755</v>
      </c>
      <c r="D622" s="82"/>
      <c r="E622" s="108" t="s">
        <v>756</v>
      </c>
      <c r="F622" s="113">
        <f>F623</f>
        <v>100</v>
      </c>
      <c r="G622" s="113">
        <f t="shared" ref="G622:H622" si="164">G623</f>
        <v>0</v>
      </c>
      <c r="H622" s="113">
        <f t="shared" si="164"/>
        <v>0</v>
      </c>
    </row>
    <row r="623" spans="1:8" ht="38.25" x14ac:dyDescent="0.2">
      <c r="A623" s="16" t="s">
        <v>101</v>
      </c>
      <c r="B623" s="16" t="s">
        <v>94</v>
      </c>
      <c r="C623" s="175" t="s">
        <v>755</v>
      </c>
      <c r="D623" s="82" t="s">
        <v>211</v>
      </c>
      <c r="E623" s="98" t="s">
        <v>212</v>
      </c>
      <c r="F623" s="113">
        <v>100</v>
      </c>
      <c r="G623" s="113">
        <v>0</v>
      </c>
      <c r="H623" s="113">
        <v>0</v>
      </c>
    </row>
    <row r="624" spans="1:8" x14ac:dyDescent="0.2">
      <c r="A624" s="16" t="s">
        <v>101</v>
      </c>
      <c r="B624" s="16" t="s">
        <v>94</v>
      </c>
      <c r="C624" s="52" t="s">
        <v>31</v>
      </c>
      <c r="D624" s="21"/>
      <c r="E624" s="66" t="s">
        <v>46</v>
      </c>
      <c r="F624" s="226">
        <f>F625</f>
        <v>3564.6</v>
      </c>
      <c r="G624" s="226">
        <f t="shared" ref="G624:H624" si="165">G625</f>
        <v>3454.5</v>
      </c>
      <c r="H624" s="226">
        <f t="shared" si="165"/>
        <v>3454.5</v>
      </c>
    </row>
    <row r="625" spans="1:8" ht="65.25" customHeight="1" x14ac:dyDescent="0.2">
      <c r="A625" s="16" t="s">
        <v>101</v>
      </c>
      <c r="B625" s="16" t="s">
        <v>94</v>
      </c>
      <c r="C625" s="80">
        <v>290022200</v>
      </c>
      <c r="D625" s="21"/>
      <c r="E625" s="98" t="s">
        <v>261</v>
      </c>
      <c r="F625" s="224">
        <f>SUM(F626:F628)</f>
        <v>3564.6</v>
      </c>
      <c r="G625" s="224">
        <f>SUM(G626:G627)</f>
        <v>3454.5</v>
      </c>
      <c r="H625" s="224">
        <f>SUM(H626:H627)</f>
        <v>3454.5</v>
      </c>
    </row>
    <row r="626" spans="1:8" ht="38.25" x14ac:dyDescent="0.2">
      <c r="A626" s="16" t="s">
        <v>101</v>
      </c>
      <c r="B626" s="16" t="s">
        <v>94</v>
      </c>
      <c r="C626" s="80">
        <v>290022200</v>
      </c>
      <c r="D626" s="16" t="s">
        <v>62</v>
      </c>
      <c r="E626" s="55" t="s">
        <v>63</v>
      </c>
      <c r="F626" s="224">
        <f>3380.7+110.1-55</f>
        <v>3435.7999999999997</v>
      </c>
      <c r="G626" s="224">
        <v>3380.7</v>
      </c>
      <c r="H626" s="224">
        <v>3380.7</v>
      </c>
    </row>
    <row r="627" spans="1:8" ht="38.25" x14ac:dyDescent="0.2">
      <c r="A627" s="16" t="s">
        <v>101</v>
      </c>
      <c r="B627" s="16" t="s">
        <v>94</v>
      </c>
      <c r="C627" s="80">
        <v>290022200</v>
      </c>
      <c r="D627" s="82" t="s">
        <v>211</v>
      </c>
      <c r="E627" s="98" t="s">
        <v>212</v>
      </c>
      <c r="F627" s="113">
        <v>73.8</v>
      </c>
      <c r="G627" s="113">
        <v>73.8</v>
      </c>
      <c r="H627" s="113">
        <v>73.8</v>
      </c>
    </row>
    <row r="628" spans="1:8" ht="38.25" x14ac:dyDescent="0.2">
      <c r="A628" s="16" t="s">
        <v>101</v>
      </c>
      <c r="B628" s="16" t="s">
        <v>94</v>
      </c>
      <c r="C628" s="80">
        <v>290022200</v>
      </c>
      <c r="D628" s="82" t="s">
        <v>260</v>
      </c>
      <c r="E628" s="98" t="s">
        <v>249</v>
      </c>
      <c r="F628" s="113">
        <v>55</v>
      </c>
      <c r="G628" s="113">
        <v>0</v>
      </c>
      <c r="H628" s="113">
        <v>0</v>
      </c>
    </row>
    <row r="629" spans="1:8" ht="15.75" x14ac:dyDescent="0.25">
      <c r="A629" s="4" t="s">
        <v>110</v>
      </c>
      <c r="B629" s="3"/>
      <c r="C629" s="3"/>
      <c r="D629" s="3"/>
      <c r="E629" s="49" t="s">
        <v>111</v>
      </c>
      <c r="F629" s="117">
        <f>F630+F635+F648</f>
        <v>40632.6</v>
      </c>
      <c r="G629" s="117">
        <f>G630+G635+G648</f>
        <v>22430.999999999996</v>
      </c>
      <c r="H629" s="117">
        <f>H630+H635+H648</f>
        <v>24288.199999999997</v>
      </c>
    </row>
    <row r="630" spans="1:8" s="37" customFormat="1" ht="14.25" x14ac:dyDescent="0.2">
      <c r="A630" s="35" t="s">
        <v>110</v>
      </c>
      <c r="B630" s="35" t="s">
        <v>88</v>
      </c>
      <c r="C630" s="35"/>
      <c r="D630" s="35"/>
      <c r="E630" s="45" t="s">
        <v>112</v>
      </c>
      <c r="F630" s="222">
        <f t="shared" ref="F630:H633" si="166">F631</f>
        <v>3642</v>
      </c>
      <c r="G630" s="222">
        <f t="shared" si="166"/>
        <v>2338.3000000000002</v>
      </c>
      <c r="H630" s="222">
        <f t="shared" si="166"/>
        <v>2338.3000000000002</v>
      </c>
    </row>
    <row r="631" spans="1:8" ht="90" x14ac:dyDescent="0.25">
      <c r="A631" s="5" t="s">
        <v>110</v>
      </c>
      <c r="B631" s="5" t="s">
        <v>88</v>
      </c>
      <c r="C631" s="73" t="s">
        <v>35</v>
      </c>
      <c r="D631" s="3"/>
      <c r="E631" s="141" t="s">
        <v>585</v>
      </c>
      <c r="F631" s="117">
        <f t="shared" si="166"/>
        <v>3642</v>
      </c>
      <c r="G631" s="117">
        <f t="shared" si="166"/>
        <v>2338.3000000000002</v>
      </c>
      <c r="H631" s="117">
        <f t="shared" si="166"/>
        <v>2338.3000000000002</v>
      </c>
    </row>
    <row r="632" spans="1:8" ht="26.25" x14ac:dyDescent="0.25">
      <c r="A632" s="16" t="s">
        <v>110</v>
      </c>
      <c r="B632" s="16" t="s">
        <v>88</v>
      </c>
      <c r="C632" s="52" t="s">
        <v>37</v>
      </c>
      <c r="D632" s="3"/>
      <c r="E632" s="46" t="s">
        <v>80</v>
      </c>
      <c r="F632" s="119">
        <f t="shared" si="166"/>
        <v>3642</v>
      </c>
      <c r="G632" s="119">
        <f t="shared" si="166"/>
        <v>2338.3000000000002</v>
      </c>
      <c r="H632" s="119">
        <f t="shared" si="166"/>
        <v>2338.3000000000002</v>
      </c>
    </row>
    <row r="633" spans="1:8" ht="26.25" x14ac:dyDescent="0.25">
      <c r="A633" s="16" t="s">
        <v>110</v>
      </c>
      <c r="B633" s="16" t="s">
        <v>88</v>
      </c>
      <c r="C633" s="79">
        <v>1320225100</v>
      </c>
      <c r="D633" s="3"/>
      <c r="E633" s="99" t="s">
        <v>362</v>
      </c>
      <c r="F633" s="113">
        <f t="shared" si="166"/>
        <v>3642</v>
      </c>
      <c r="G633" s="113">
        <f t="shared" si="166"/>
        <v>2338.3000000000002</v>
      </c>
      <c r="H633" s="113">
        <f t="shared" si="166"/>
        <v>2338.3000000000002</v>
      </c>
    </row>
    <row r="634" spans="1:8" ht="25.5" x14ac:dyDescent="0.2">
      <c r="A634" s="16" t="s">
        <v>110</v>
      </c>
      <c r="B634" s="16" t="s">
        <v>88</v>
      </c>
      <c r="C634" s="79">
        <v>1320225100</v>
      </c>
      <c r="D634" s="82" t="s">
        <v>279</v>
      </c>
      <c r="E634" s="98" t="s">
        <v>280</v>
      </c>
      <c r="F634" s="220">
        <f>2338.3+1303.7</f>
        <v>3642</v>
      </c>
      <c r="G634" s="220">
        <v>2338.3000000000002</v>
      </c>
      <c r="H634" s="220">
        <v>2338.3000000000002</v>
      </c>
    </row>
    <row r="635" spans="1:8" s="37" customFormat="1" ht="14.25" x14ac:dyDescent="0.2">
      <c r="A635" s="35" t="s">
        <v>110</v>
      </c>
      <c r="B635" s="35" t="s">
        <v>93</v>
      </c>
      <c r="C635" s="35"/>
      <c r="D635" s="35"/>
      <c r="E635" s="45" t="s">
        <v>116</v>
      </c>
      <c r="F635" s="222">
        <f>F636+F640+F644</f>
        <v>1760</v>
      </c>
      <c r="G635" s="222">
        <f t="shared" ref="G635:H635" si="167">G636+G640+G644</f>
        <v>1610</v>
      </c>
      <c r="H635" s="222">
        <f t="shared" si="167"/>
        <v>1610</v>
      </c>
    </row>
    <row r="636" spans="1:8" s="37" customFormat="1" ht="77.25" x14ac:dyDescent="0.25">
      <c r="A636" s="5" t="s">
        <v>110</v>
      </c>
      <c r="B636" s="5" t="s">
        <v>93</v>
      </c>
      <c r="C636" s="21" t="s">
        <v>73</v>
      </c>
      <c r="D636" s="35"/>
      <c r="E636" s="64" t="s">
        <v>571</v>
      </c>
      <c r="F636" s="231">
        <f t="shared" ref="F636:H637" si="168">F637</f>
        <v>972</v>
      </c>
      <c r="G636" s="231">
        <f t="shared" si="168"/>
        <v>972</v>
      </c>
      <c r="H636" s="231">
        <f t="shared" si="168"/>
        <v>972</v>
      </c>
    </row>
    <row r="637" spans="1:8" s="37" customFormat="1" ht="27" customHeight="1" x14ac:dyDescent="0.2">
      <c r="A637" s="16" t="s">
        <v>110</v>
      </c>
      <c r="B637" s="16" t="s">
        <v>93</v>
      </c>
      <c r="C637" s="52" t="s">
        <v>427</v>
      </c>
      <c r="D637" s="82"/>
      <c r="E637" s="46" t="s">
        <v>426</v>
      </c>
      <c r="F637" s="226">
        <f t="shared" si="168"/>
        <v>972</v>
      </c>
      <c r="G637" s="226">
        <f t="shared" si="168"/>
        <v>972</v>
      </c>
      <c r="H637" s="226">
        <f t="shared" si="168"/>
        <v>972</v>
      </c>
    </row>
    <row r="638" spans="1:8" s="37" customFormat="1" ht="103.5" customHeight="1" x14ac:dyDescent="0.2">
      <c r="A638" s="16" t="s">
        <v>110</v>
      </c>
      <c r="B638" s="16" t="s">
        <v>93</v>
      </c>
      <c r="C638" s="80">
        <v>140210560</v>
      </c>
      <c r="D638" s="82"/>
      <c r="E638" s="98" t="s">
        <v>182</v>
      </c>
      <c r="F638" s="113">
        <f>F639</f>
        <v>972</v>
      </c>
      <c r="G638" s="113">
        <f>G639</f>
        <v>972</v>
      </c>
      <c r="H638" s="113">
        <f>H639</f>
        <v>972</v>
      </c>
    </row>
    <row r="639" spans="1:8" s="37" customFormat="1" ht="25.5" x14ac:dyDescent="0.2">
      <c r="A639" s="16" t="s">
        <v>110</v>
      </c>
      <c r="B639" s="16" t="s">
        <v>93</v>
      </c>
      <c r="C639" s="80">
        <v>140210560</v>
      </c>
      <c r="D639" s="82" t="s">
        <v>279</v>
      </c>
      <c r="E639" s="98" t="s">
        <v>280</v>
      </c>
      <c r="F639" s="113">
        <f>1026-54</f>
        <v>972</v>
      </c>
      <c r="G639" s="113">
        <f t="shared" ref="G639:H639" si="169">1026-54</f>
        <v>972</v>
      </c>
      <c r="H639" s="113">
        <f t="shared" si="169"/>
        <v>972</v>
      </c>
    </row>
    <row r="640" spans="1:8" s="37" customFormat="1" ht="90" x14ac:dyDescent="0.25">
      <c r="A640" s="5" t="s">
        <v>110</v>
      </c>
      <c r="B640" s="5" t="s">
        <v>93</v>
      </c>
      <c r="C640" s="73" t="s">
        <v>35</v>
      </c>
      <c r="D640" s="3"/>
      <c r="E640" s="141" t="s">
        <v>585</v>
      </c>
      <c r="F640" s="217">
        <f t="shared" ref="F640:H641" si="170">F641</f>
        <v>688</v>
      </c>
      <c r="G640" s="217">
        <f t="shared" si="170"/>
        <v>638</v>
      </c>
      <c r="H640" s="217">
        <f t="shared" si="170"/>
        <v>638</v>
      </c>
    </row>
    <row r="641" spans="1:8" s="37" customFormat="1" ht="25.5" x14ac:dyDescent="0.2">
      <c r="A641" s="47" t="s">
        <v>110</v>
      </c>
      <c r="B641" s="47" t="s">
        <v>93</v>
      </c>
      <c r="C641" s="52" t="s">
        <v>37</v>
      </c>
      <c r="D641" s="16"/>
      <c r="E641" s="46" t="s">
        <v>80</v>
      </c>
      <c r="F641" s="119">
        <f>F642</f>
        <v>688</v>
      </c>
      <c r="G641" s="119">
        <f t="shared" si="170"/>
        <v>638</v>
      </c>
      <c r="H641" s="119">
        <f t="shared" si="170"/>
        <v>638</v>
      </c>
    </row>
    <row r="642" spans="1:8" s="37" customFormat="1" ht="63.75" x14ac:dyDescent="0.2">
      <c r="A642" s="16" t="s">
        <v>110</v>
      </c>
      <c r="B642" s="16" t="s">
        <v>93</v>
      </c>
      <c r="C642" s="79">
        <v>1320127100</v>
      </c>
      <c r="D642" s="16"/>
      <c r="E642" s="98" t="s">
        <v>3</v>
      </c>
      <c r="F642" s="113">
        <f>F643</f>
        <v>688</v>
      </c>
      <c r="G642" s="113">
        <f>G643</f>
        <v>638</v>
      </c>
      <c r="H642" s="113">
        <f>H643</f>
        <v>638</v>
      </c>
    </row>
    <row r="643" spans="1:8" s="37" customFormat="1" ht="76.5" x14ac:dyDescent="0.2">
      <c r="A643" s="16" t="s">
        <v>110</v>
      </c>
      <c r="B643" s="16" t="s">
        <v>93</v>
      </c>
      <c r="C643" s="79">
        <v>1320127100</v>
      </c>
      <c r="D643" s="16" t="s">
        <v>19</v>
      </c>
      <c r="E643" s="99" t="s">
        <v>360</v>
      </c>
      <c r="F643" s="113">
        <v>688</v>
      </c>
      <c r="G643" s="113">
        <v>638</v>
      </c>
      <c r="H643" s="113">
        <v>638</v>
      </c>
    </row>
    <row r="644" spans="1:8" s="37" customFormat="1" ht="25.5" x14ac:dyDescent="0.2">
      <c r="A644" s="5" t="s">
        <v>110</v>
      </c>
      <c r="B644" s="5" t="s">
        <v>93</v>
      </c>
      <c r="C644" s="83">
        <v>9900000000</v>
      </c>
      <c r="D644" s="5"/>
      <c r="E644" s="84" t="s">
        <v>144</v>
      </c>
      <c r="F644" s="230">
        <f>F645</f>
        <v>100</v>
      </c>
      <c r="G644" s="230">
        <f t="shared" ref="G644:H644" si="171">G645</f>
        <v>0</v>
      </c>
      <c r="H644" s="230">
        <f t="shared" si="171"/>
        <v>0</v>
      </c>
    </row>
    <row r="645" spans="1:8" s="37" customFormat="1" ht="14.25" x14ac:dyDescent="0.2">
      <c r="A645" s="16" t="s">
        <v>110</v>
      </c>
      <c r="B645" s="16" t="s">
        <v>93</v>
      </c>
      <c r="C645" s="79">
        <v>9920000000</v>
      </c>
      <c r="D645" s="35"/>
      <c r="E645" s="126" t="s">
        <v>5</v>
      </c>
      <c r="F645" s="224">
        <f t="shared" ref="F645:H646" si="172">F646</f>
        <v>100</v>
      </c>
      <c r="G645" s="224">
        <f t="shared" si="172"/>
        <v>0</v>
      </c>
      <c r="H645" s="224">
        <f t="shared" si="172"/>
        <v>0</v>
      </c>
    </row>
    <row r="646" spans="1:8" s="37" customFormat="1" ht="25.5" x14ac:dyDescent="0.2">
      <c r="A646" s="16" t="s">
        <v>110</v>
      </c>
      <c r="B646" s="16" t="s">
        <v>93</v>
      </c>
      <c r="C646" s="79">
        <v>9920026100</v>
      </c>
      <c r="D646" s="21"/>
      <c r="E646" s="99" t="s">
        <v>11</v>
      </c>
      <c r="F646" s="220">
        <f t="shared" si="172"/>
        <v>100</v>
      </c>
      <c r="G646" s="220">
        <f t="shared" si="172"/>
        <v>0</v>
      </c>
      <c r="H646" s="220">
        <f t="shared" si="172"/>
        <v>0</v>
      </c>
    </row>
    <row r="647" spans="1:8" s="37" customFormat="1" ht="14.25" x14ac:dyDescent="0.2">
      <c r="A647" s="16" t="s">
        <v>110</v>
      </c>
      <c r="B647" s="16" t="s">
        <v>93</v>
      </c>
      <c r="C647" s="79">
        <v>9920026100</v>
      </c>
      <c r="D647" s="82" t="s">
        <v>81</v>
      </c>
      <c r="E647" s="98" t="s">
        <v>82</v>
      </c>
      <c r="F647" s="220">
        <f>50+50</f>
        <v>100</v>
      </c>
      <c r="G647" s="220">
        <v>0</v>
      </c>
      <c r="H647" s="220">
        <v>0</v>
      </c>
    </row>
    <row r="648" spans="1:8" ht="14.25" x14ac:dyDescent="0.2">
      <c r="A648" s="35" t="s">
        <v>110</v>
      </c>
      <c r="B648" s="35" t="s">
        <v>94</v>
      </c>
      <c r="C648" s="35"/>
      <c r="D648" s="38"/>
      <c r="E648" s="50" t="s">
        <v>13</v>
      </c>
      <c r="F648" s="222">
        <f t="shared" ref="F648:G648" si="173">F649+F654</f>
        <v>35230.6</v>
      </c>
      <c r="G648" s="222">
        <f t="shared" si="173"/>
        <v>18482.699999999997</v>
      </c>
      <c r="H648" s="222">
        <f t="shared" ref="H648" si="174">H649+H654</f>
        <v>20339.899999999998</v>
      </c>
    </row>
    <row r="649" spans="1:8" ht="76.5" x14ac:dyDescent="0.2">
      <c r="A649" s="16" t="s">
        <v>110</v>
      </c>
      <c r="B649" s="16" t="s">
        <v>94</v>
      </c>
      <c r="C649" s="21" t="s">
        <v>73</v>
      </c>
      <c r="D649" s="35"/>
      <c r="E649" s="64" t="s">
        <v>571</v>
      </c>
      <c r="F649" s="117">
        <f t="shared" ref="F649:H650" si="175">F650</f>
        <v>12044.699999999999</v>
      </c>
      <c r="G649" s="117">
        <f t="shared" si="175"/>
        <v>13017.3</v>
      </c>
      <c r="H649" s="117">
        <f t="shared" si="175"/>
        <v>13017.3</v>
      </c>
    </row>
    <row r="650" spans="1:8" ht="25.5" x14ac:dyDescent="0.2">
      <c r="A650" s="16" t="s">
        <v>110</v>
      </c>
      <c r="B650" s="16" t="s">
        <v>94</v>
      </c>
      <c r="C650" s="52" t="s">
        <v>74</v>
      </c>
      <c r="D650" s="35"/>
      <c r="E650" s="46" t="s">
        <v>388</v>
      </c>
      <c r="F650" s="119">
        <f t="shared" si="175"/>
        <v>12044.699999999999</v>
      </c>
      <c r="G650" s="119">
        <f t="shared" si="175"/>
        <v>13017.3</v>
      </c>
      <c r="H650" s="119">
        <f t="shared" si="175"/>
        <v>13017.3</v>
      </c>
    </row>
    <row r="651" spans="1:8" ht="76.5" x14ac:dyDescent="0.2">
      <c r="A651" s="16" t="s">
        <v>110</v>
      </c>
      <c r="B651" s="16" t="s">
        <v>94</v>
      </c>
      <c r="C651" s="57" t="s">
        <v>387</v>
      </c>
      <c r="D651" s="21"/>
      <c r="E651" s="98" t="s">
        <v>386</v>
      </c>
      <c r="F651" s="224">
        <f>F652+F653</f>
        <v>12044.699999999999</v>
      </c>
      <c r="G651" s="224">
        <f>G652+G653</f>
        <v>13017.3</v>
      </c>
      <c r="H651" s="224">
        <f>H652+H653</f>
        <v>13017.3</v>
      </c>
    </row>
    <row r="652" spans="1:8" ht="38.25" x14ac:dyDescent="0.2">
      <c r="A652" s="16" t="s">
        <v>110</v>
      </c>
      <c r="B652" s="16" t="s">
        <v>94</v>
      </c>
      <c r="C652" s="57" t="s">
        <v>387</v>
      </c>
      <c r="D652" s="82" t="s">
        <v>211</v>
      </c>
      <c r="E652" s="98" t="s">
        <v>212</v>
      </c>
      <c r="F652" s="224">
        <v>330</v>
      </c>
      <c r="G652" s="224">
        <v>330</v>
      </c>
      <c r="H652" s="224">
        <v>330</v>
      </c>
    </row>
    <row r="653" spans="1:8" ht="38.25" x14ac:dyDescent="0.2">
      <c r="A653" s="16" t="s">
        <v>110</v>
      </c>
      <c r="B653" s="16" t="s">
        <v>94</v>
      </c>
      <c r="C653" s="57" t="s">
        <v>387</v>
      </c>
      <c r="D653" s="82" t="s">
        <v>260</v>
      </c>
      <c r="E653" s="98" t="s">
        <v>249</v>
      </c>
      <c r="F653" s="224">
        <f>12687.3-972.6</f>
        <v>11714.699999999999</v>
      </c>
      <c r="G653" s="224">
        <v>12687.3</v>
      </c>
      <c r="H653" s="224">
        <v>12687.3</v>
      </c>
    </row>
    <row r="654" spans="1:8" ht="90" x14ac:dyDescent="0.25">
      <c r="A654" s="5" t="s">
        <v>110</v>
      </c>
      <c r="B654" s="5" t="s">
        <v>94</v>
      </c>
      <c r="C654" s="73" t="s">
        <v>35</v>
      </c>
      <c r="D654" s="3"/>
      <c r="E654" s="141" t="s">
        <v>585</v>
      </c>
      <c r="F654" s="217">
        <f t="shared" ref="F654:H654" si="176">F655</f>
        <v>23185.9</v>
      </c>
      <c r="G654" s="217">
        <f t="shared" si="176"/>
        <v>5465.4</v>
      </c>
      <c r="H654" s="217">
        <f t="shared" si="176"/>
        <v>7322.5999999999995</v>
      </c>
    </row>
    <row r="655" spans="1:8" ht="25.5" x14ac:dyDescent="0.2">
      <c r="A655" s="47" t="s">
        <v>110</v>
      </c>
      <c r="B655" s="47" t="s">
        <v>94</v>
      </c>
      <c r="C655" s="52" t="s">
        <v>36</v>
      </c>
      <c r="D655" s="35"/>
      <c r="E655" s="46" t="s">
        <v>83</v>
      </c>
      <c r="F655" s="119">
        <f>F656+F658+F660+F662</f>
        <v>23185.9</v>
      </c>
      <c r="G655" s="119">
        <f t="shared" ref="G655:H655" si="177">G656+G658+G660+G662</f>
        <v>5465.4</v>
      </c>
      <c r="H655" s="119">
        <f t="shared" si="177"/>
        <v>7322.5999999999995</v>
      </c>
    </row>
    <row r="656" spans="1:8" ht="39" x14ac:dyDescent="0.25">
      <c r="A656" s="16" t="s">
        <v>110</v>
      </c>
      <c r="B656" s="16" t="s">
        <v>94</v>
      </c>
      <c r="C656" s="21" t="s">
        <v>305</v>
      </c>
      <c r="D656" s="3"/>
      <c r="E656" s="128" t="s">
        <v>202</v>
      </c>
      <c r="F656" s="113">
        <f t="shared" ref="F656:H656" si="178">F657</f>
        <v>724.6</v>
      </c>
      <c r="G656" s="113">
        <f t="shared" si="178"/>
        <v>905.69999999999993</v>
      </c>
      <c r="H656" s="113">
        <f t="shared" si="178"/>
        <v>1086.9000000000001</v>
      </c>
    </row>
    <row r="657" spans="1:8" x14ac:dyDescent="0.2">
      <c r="A657" s="16" t="s">
        <v>110</v>
      </c>
      <c r="B657" s="16" t="s">
        <v>94</v>
      </c>
      <c r="C657" s="21" t="s">
        <v>305</v>
      </c>
      <c r="D657" s="82" t="s">
        <v>248</v>
      </c>
      <c r="E657" s="102" t="s">
        <v>247</v>
      </c>
      <c r="F657" s="113">
        <v>724.6</v>
      </c>
      <c r="G657" s="234">
        <f>905.8-0.1</f>
        <v>905.69999999999993</v>
      </c>
      <c r="H657" s="113">
        <v>1086.9000000000001</v>
      </c>
    </row>
    <row r="658" spans="1:8" ht="38.25" x14ac:dyDescent="0.2">
      <c r="A658" s="16" t="s">
        <v>110</v>
      </c>
      <c r="B658" s="16" t="s">
        <v>94</v>
      </c>
      <c r="C658" s="21" t="s">
        <v>699</v>
      </c>
      <c r="D658" s="82"/>
      <c r="E658" s="124" t="s">
        <v>700</v>
      </c>
      <c r="F658" s="113">
        <f>F659</f>
        <v>2898.4</v>
      </c>
      <c r="G658" s="113">
        <f t="shared" ref="G658:H658" si="179">G659</f>
        <v>0</v>
      </c>
      <c r="H658" s="113">
        <f t="shared" si="179"/>
        <v>0</v>
      </c>
    </row>
    <row r="659" spans="1:8" x14ac:dyDescent="0.2">
      <c r="A659" s="16" t="s">
        <v>110</v>
      </c>
      <c r="B659" s="16" t="s">
        <v>94</v>
      </c>
      <c r="C659" s="21" t="s">
        <v>699</v>
      </c>
      <c r="D659" s="82" t="s">
        <v>248</v>
      </c>
      <c r="E659" s="102" t="s">
        <v>247</v>
      </c>
      <c r="F659" s="113">
        <v>2898.4</v>
      </c>
      <c r="G659" s="113">
        <v>0</v>
      </c>
      <c r="H659" s="113">
        <v>0</v>
      </c>
    </row>
    <row r="660" spans="1:8" ht="51" x14ac:dyDescent="0.2">
      <c r="A660" s="16" t="s">
        <v>110</v>
      </c>
      <c r="B660" s="16" t="s">
        <v>94</v>
      </c>
      <c r="C660" s="79" t="s">
        <v>696</v>
      </c>
      <c r="D660" s="16"/>
      <c r="E660" s="98" t="s">
        <v>168</v>
      </c>
      <c r="F660" s="220">
        <f>F661</f>
        <v>5072.3</v>
      </c>
      <c r="G660" s="220">
        <f>G661</f>
        <v>1690.8</v>
      </c>
      <c r="H660" s="220">
        <f>H661</f>
        <v>3381.5</v>
      </c>
    </row>
    <row r="661" spans="1:8" x14ac:dyDescent="0.2">
      <c r="A661" s="16" t="s">
        <v>110</v>
      </c>
      <c r="B661" s="16" t="s">
        <v>94</v>
      </c>
      <c r="C661" s="79" t="s">
        <v>696</v>
      </c>
      <c r="D661" s="82" t="s">
        <v>248</v>
      </c>
      <c r="E661" s="102" t="s">
        <v>247</v>
      </c>
      <c r="F661" s="220">
        <v>5072.3</v>
      </c>
      <c r="G661" s="220">
        <v>1690.8</v>
      </c>
      <c r="H661" s="220">
        <v>3381.5</v>
      </c>
    </row>
    <row r="662" spans="1:8" ht="51" x14ac:dyDescent="0.2">
      <c r="A662" s="16" t="s">
        <v>110</v>
      </c>
      <c r="B662" s="16" t="s">
        <v>94</v>
      </c>
      <c r="C662" s="74" t="s">
        <v>330</v>
      </c>
      <c r="D662" s="16"/>
      <c r="E662" s="98" t="s">
        <v>317</v>
      </c>
      <c r="F662" s="224">
        <f t="shared" ref="F662:H662" si="180">F663</f>
        <v>14490.6</v>
      </c>
      <c r="G662" s="224">
        <f t="shared" si="180"/>
        <v>2868.9</v>
      </c>
      <c r="H662" s="224">
        <f t="shared" si="180"/>
        <v>2854.2</v>
      </c>
    </row>
    <row r="663" spans="1:8" ht="38.25" x14ac:dyDescent="0.2">
      <c r="A663" s="16" t="s">
        <v>110</v>
      </c>
      <c r="B663" s="16" t="s">
        <v>94</v>
      </c>
      <c r="C663" s="74" t="s">
        <v>330</v>
      </c>
      <c r="D663" s="82" t="s">
        <v>260</v>
      </c>
      <c r="E663" s="98" t="s">
        <v>249</v>
      </c>
      <c r="F663" s="224">
        <f>2854.2+11592.5+43.9</f>
        <v>14490.6</v>
      </c>
      <c r="G663" s="224">
        <v>2868.9</v>
      </c>
      <c r="H663" s="224">
        <v>2854.2</v>
      </c>
    </row>
    <row r="664" spans="1:8" ht="15.75" x14ac:dyDescent="0.25">
      <c r="A664" s="4" t="s">
        <v>102</v>
      </c>
      <c r="B664" s="3"/>
      <c r="C664" s="3"/>
      <c r="D664" s="3"/>
      <c r="E664" s="49" t="s">
        <v>123</v>
      </c>
      <c r="F664" s="218">
        <f t="shared" ref="F664:H666" si="181">F665</f>
        <v>6706.1</v>
      </c>
      <c r="G664" s="218">
        <f t="shared" si="181"/>
        <v>706.1</v>
      </c>
      <c r="H664" s="218">
        <f t="shared" si="181"/>
        <v>706.1</v>
      </c>
    </row>
    <row r="665" spans="1:8" s="37" customFormat="1" ht="14.25" x14ac:dyDescent="0.2">
      <c r="A665" s="35" t="s">
        <v>102</v>
      </c>
      <c r="B665" s="35" t="s">
        <v>89</v>
      </c>
      <c r="C665" s="35"/>
      <c r="D665" s="35"/>
      <c r="E665" s="46" t="s">
        <v>6</v>
      </c>
      <c r="F665" s="222">
        <f t="shared" si="181"/>
        <v>6706.1</v>
      </c>
      <c r="G665" s="222">
        <f t="shared" si="181"/>
        <v>706.1</v>
      </c>
      <c r="H665" s="222">
        <f t="shared" si="181"/>
        <v>706.1</v>
      </c>
    </row>
    <row r="666" spans="1:8" s="37" customFormat="1" ht="89.25" x14ac:dyDescent="0.2">
      <c r="A666" s="16" t="s">
        <v>102</v>
      </c>
      <c r="B666" s="16" t="s">
        <v>89</v>
      </c>
      <c r="C666" s="73" t="s">
        <v>59</v>
      </c>
      <c r="D666" s="35"/>
      <c r="E666" s="53" t="s">
        <v>572</v>
      </c>
      <c r="F666" s="230">
        <f t="shared" si="181"/>
        <v>6706.1</v>
      </c>
      <c r="G666" s="230">
        <f t="shared" si="181"/>
        <v>706.1</v>
      </c>
      <c r="H666" s="230">
        <f t="shared" si="181"/>
        <v>706.1</v>
      </c>
    </row>
    <row r="667" spans="1:8" s="37" customFormat="1" ht="38.25" x14ac:dyDescent="0.2">
      <c r="A667" s="47" t="s">
        <v>102</v>
      </c>
      <c r="B667" s="47" t="s">
        <v>89</v>
      </c>
      <c r="C667" s="52" t="s">
        <v>43</v>
      </c>
      <c r="D667" s="35"/>
      <c r="E667" s="48" t="s">
        <v>201</v>
      </c>
      <c r="F667" s="226">
        <f>F668+F671+F674</f>
        <v>6706.1</v>
      </c>
      <c r="G667" s="226">
        <f t="shared" ref="G667:H667" si="182">G668+G671+G674</f>
        <v>706.1</v>
      </c>
      <c r="H667" s="226">
        <f t="shared" si="182"/>
        <v>706.1</v>
      </c>
    </row>
    <row r="668" spans="1:8" s="37" customFormat="1" ht="89.25" x14ac:dyDescent="0.2">
      <c r="A668" s="16" t="s">
        <v>102</v>
      </c>
      <c r="B668" s="16" t="s">
        <v>89</v>
      </c>
      <c r="C668" s="21" t="s">
        <v>448</v>
      </c>
      <c r="D668" s="21"/>
      <c r="E668" s="99" t="s">
        <v>176</v>
      </c>
      <c r="F668" s="220">
        <f>SUM(F669:F670)</f>
        <v>615.1</v>
      </c>
      <c r="G668" s="220">
        <f>SUM(G670:G670)</f>
        <v>615.1</v>
      </c>
      <c r="H668" s="220">
        <f>SUM(H670:H670)</f>
        <v>615.1</v>
      </c>
    </row>
    <row r="669" spans="1:8" s="37" customFormat="1" ht="25.5" x14ac:dyDescent="0.2">
      <c r="A669" s="16" t="s">
        <v>102</v>
      </c>
      <c r="B669" s="16" t="s">
        <v>89</v>
      </c>
      <c r="C669" s="21" t="s">
        <v>448</v>
      </c>
      <c r="D669" s="82" t="s">
        <v>64</v>
      </c>
      <c r="E669" s="55" t="s">
        <v>130</v>
      </c>
      <c r="F669" s="220">
        <v>131.30000000000001</v>
      </c>
      <c r="G669" s="220">
        <v>0</v>
      </c>
      <c r="H669" s="220">
        <v>0</v>
      </c>
    </row>
    <row r="670" spans="1:8" s="37" customFormat="1" ht="38.25" x14ac:dyDescent="0.2">
      <c r="A670" s="16" t="s">
        <v>102</v>
      </c>
      <c r="B670" s="16" t="s">
        <v>89</v>
      </c>
      <c r="C670" s="21" t="s">
        <v>448</v>
      </c>
      <c r="D670" s="82" t="s">
        <v>211</v>
      </c>
      <c r="E670" s="98" t="s">
        <v>212</v>
      </c>
      <c r="F670" s="220">
        <f>615.1-131.3</f>
        <v>483.8</v>
      </c>
      <c r="G670" s="220">
        <v>615.1</v>
      </c>
      <c r="H670" s="220">
        <v>615.1</v>
      </c>
    </row>
    <row r="671" spans="1:8" s="37" customFormat="1" ht="63.75" x14ac:dyDescent="0.2">
      <c r="A671" s="16" t="s">
        <v>102</v>
      </c>
      <c r="B671" s="16" t="s">
        <v>89</v>
      </c>
      <c r="C671" s="21" t="s">
        <v>449</v>
      </c>
      <c r="D671" s="21"/>
      <c r="E671" s="99" t="s">
        <v>61</v>
      </c>
      <c r="F671" s="220">
        <f>SUM(F672:F673)</f>
        <v>91</v>
      </c>
      <c r="G671" s="220">
        <f>SUM(G672:G673)</f>
        <v>91</v>
      </c>
      <c r="H671" s="220">
        <f>SUM(H672:H673)</f>
        <v>91</v>
      </c>
    </row>
    <row r="672" spans="1:8" s="37" customFormat="1" ht="25.5" x14ac:dyDescent="0.2">
      <c r="A672" s="16" t="s">
        <v>102</v>
      </c>
      <c r="B672" s="16" t="s">
        <v>89</v>
      </c>
      <c r="C672" s="21" t="s">
        <v>449</v>
      </c>
      <c r="D672" s="82" t="s">
        <v>64</v>
      </c>
      <c r="E672" s="55" t="s">
        <v>130</v>
      </c>
      <c r="F672" s="220">
        <v>46</v>
      </c>
      <c r="G672" s="220">
        <v>46</v>
      </c>
      <c r="H672" s="220">
        <v>46</v>
      </c>
    </row>
    <row r="673" spans="1:8" ht="38.25" x14ac:dyDescent="0.2">
      <c r="A673" s="16" t="s">
        <v>102</v>
      </c>
      <c r="B673" s="16" t="s">
        <v>89</v>
      </c>
      <c r="C673" s="21" t="s">
        <v>449</v>
      </c>
      <c r="D673" s="82" t="s">
        <v>211</v>
      </c>
      <c r="E673" s="98" t="s">
        <v>212</v>
      </c>
      <c r="F673" s="220">
        <v>45</v>
      </c>
      <c r="G673" s="220">
        <v>45</v>
      </c>
      <c r="H673" s="220">
        <v>45</v>
      </c>
    </row>
    <row r="674" spans="1:8" ht="25.5" x14ac:dyDescent="0.2">
      <c r="A674" s="16" t="s">
        <v>102</v>
      </c>
      <c r="B674" s="16" t="s">
        <v>89</v>
      </c>
      <c r="C674" s="21" t="s">
        <v>707</v>
      </c>
      <c r="D674" s="82"/>
      <c r="E674" s="98" t="s">
        <v>708</v>
      </c>
      <c r="F674" s="220">
        <f>F675</f>
        <v>6000</v>
      </c>
      <c r="G674" s="220">
        <f t="shared" ref="G674:H674" si="183">G675</f>
        <v>0</v>
      </c>
      <c r="H674" s="220">
        <f t="shared" si="183"/>
        <v>0</v>
      </c>
    </row>
    <row r="675" spans="1:8" ht="38.25" x14ac:dyDescent="0.2">
      <c r="A675" s="16" t="s">
        <v>102</v>
      </c>
      <c r="B675" s="16" t="s">
        <v>89</v>
      </c>
      <c r="C675" s="21" t="s">
        <v>707</v>
      </c>
      <c r="D675" s="82" t="s">
        <v>211</v>
      </c>
      <c r="E675" s="98" t="s">
        <v>212</v>
      </c>
      <c r="F675" s="220">
        <v>6000</v>
      </c>
      <c r="G675" s="220">
        <v>0</v>
      </c>
      <c r="H675" s="220">
        <v>0</v>
      </c>
    </row>
    <row r="676" spans="1:8" ht="30" x14ac:dyDescent="0.25">
      <c r="A676" s="4" t="s">
        <v>122</v>
      </c>
      <c r="B676" s="3"/>
      <c r="C676" s="3"/>
      <c r="D676" s="3"/>
      <c r="E676" s="49" t="s">
        <v>8</v>
      </c>
      <c r="F676" s="218">
        <f t="shared" ref="F676:H678" si="184">F677</f>
        <v>4480.7</v>
      </c>
      <c r="G676" s="218">
        <f t="shared" si="184"/>
        <v>3538</v>
      </c>
      <c r="H676" s="218">
        <f t="shared" si="184"/>
        <v>3538</v>
      </c>
    </row>
    <row r="677" spans="1:8" ht="28.5" x14ac:dyDescent="0.2">
      <c r="A677" s="35" t="s">
        <v>122</v>
      </c>
      <c r="B677" s="35" t="s">
        <v>94</v>
      </c>
      <c r="C677" s="35"/>
      <c r="D677" s="35"/>
      <c r="E677" s="50" t="s">
        <v>14</v>
      </c>
      <c r="F677" s="219">
        <f t="shared" si="184"/>
        <v>4480.7</v>
      </c>
      <c r="G677" s="219">
        <f t="shared" si="184"/>
        <v>3538</v>
      </c>
      <c r="H677" s="219">
        <f t="shared" si="184"/>
        <v>3538</v>
      </c>
    </row>
    <row r="678" spans="1:8" s="20" customFormat="1" ht="90" x14ac:dyDescent="0.25">
      <c r="A678" s="16" t="s">
        <v>122</v>
      </c>
      <c r="B678" s="16" t="s">
        <v>94</v>
      </c>
      <c r="C678" s="74">
        <v>400000000</v>
      </c>
      <c r="D678" s="30"/>
      <c r="E678" s="141" t="s">
        <v>575</v>
      </c>
      <c r="F678" s="117">
        <f t="shared" si="184"/>
        <v>4480.7</v>
      </c>
      <c r="G678" s="117">
        <f t="shared" si="184"/>
        <v>3538</v>
      </c>
      <c r="H678" s="117">
        <f t="shared" si="184"/>
        <v>3538</v>
      </c>
    </row>
    <row r="679" spans="1:8" s="20" customFormat="1" ht="51.75" x14ac:dyDescent="0.25">
      <c r="A679" s="16" t="s">
        <v>122</v>
      </c>
      <c r="B679" s="16" t="s">
        <v>94</v>
      </c>
      <c r="C679" s="75">
        <v>420000000</v>
      </c>
      <c r="D679" s="30"/>
      <c r="E679" s="46" t="s">
        <v>166</v>
      </c>
      <c r="F679" s="119">
        <f>F680+F682+F684+F686+F688+F690</f>
        <v>4480.7</v>
      </c>
      <c r="G679" s="119">
        <f t="shared" ref="G679:H679" si="185">G680+G682+G684+G686+G688+G690</f>
        <v>3538</v>
      </c>
      <c r="H679" s="119">
        <f t="shared" si="185"/>
        <v>3538</v>
      </c>
    </row>
    <row r="680" spans="1:8" s="20" customFormat="1" ht="51" x14ac:dyDescent="0.25">
      <c r="A680" s="16" t="s">
        <v>122</v>
      </c>
      <c r="B680" s="16" t="s">
        <v>94</v>
      </c>
      <c r="C680" s="74" t="s">
        <v>473</v>
      </c>
      <c r="D680" s="16"/>
      <c r="E680" s="98" t="s">
        <v>352</v>
      </c>
      <c r="F680" s="113">
        <f>F681</f>
        <v>600</v>
      </c>
      <c r="G680" s="113">
        <f t="shared" ref="G680:H680" si="186">G681</f>
        <v>300</v>
      </c>
      <c r="H680" s="113">
        <f t="shared" si="186"/>
        <v>300</v>
      </c>
    </row>
    <row r="681" spans="1:8" s="20" customFormat="1" ht="77.25" x14ac:dyDescent="0.25">
      <c r="A681" s="16" t="s">
        <v>122</v>
      </c>
      <c r="B681" s="16" t="s">
        <v>94</v>
      </c>
      <c r="C681" s="74" t="s">
        <v>473</v>
      </c>
      <c r="D681" s="16" t="s">
        <v>19</v>
      </c>
      <c r="E681" s="99" t="s">
        <v>360</v>
      </c>
      <c r="F681" s="113">
        <v>600</v>
      </c>
      <c r="G681" s="113">
        <v>300</v>
      </c>
      <c r="H681" s="113">
        <v>300</v>
      </c>
    </row>
    <row r="682" spans="1:8" s="20" customFormat="1" ht="66.75" customHeight="1" x14ac:dyDescent="0.25">
      <c r="A682" s="16" t="s">
        <v>122</v>
      </c>
      <c r="B682" s="16" t="s">
        <v>94</v>
      </c>
      <c r="C682" s="74">
        <v>420123230</v>
      </c>
      <c r="D682" s="16"/>
      <c r="E682" s="99" t="s">
        <v>661</v>
      </c>
      <c r="F682" s="113">
        <f>F683</f>
        <v>1620</v>
      </c>
      <c r="G682" s="113">
        <f t="shared" ref="G682:H682" si="187">G683</f>
        <v>1300</v>
      </c>
      <c r="H682" s="113">
        <f t="shared" si="187"/>
        <v>1300</v>
      </c>
    </row>
    <row r="683" spans="1:8" s="20" customFormat="1" ht="38.25" x14ac:dyDescent="0.25">
      <c r="A683" s="16" t="s">
        <v>122</v>
      </c>
      <c r="B683" s="16" t="s">
        <v>94</v>
      </c>
      <c r="C683" s="74">
        <v>420123230</v>
      </c>
      <c r="D683" s="82" t="s">
        <v>211</v>
      </c>
      <c r="E683" s="98" t="s">
        <v>212</v>
      </c>
      <c r="F683" s="113">
        <f>1200+420</f>
        <v>1620</v>
      </c>
      <c r="G683" s="113">
        <v>1300</v>
      </c>
      <c r="H683" s="113">
        <v>1300</v>
      </c>
    </row>
    <row r="684" spans="1:8" s="20" customFormat="1" ht="39" x14ac:dyDescent="0.25">
      <c r="A684" s="16" t="s">
        <v>122</v>
      </c>
      <c r="B684" s="16" t="s">
        <v>94</v>
      </c>
      <c r="C684" s="135" t="s">
        <v>691</v>
      </c>
      <c r="D684" s="1"/>
      <c r="E684" s="134" t="s">
        <v>474</v>
      </c>
      <c r="F684" s="113">
        <f>F685</f>
        <v>925.9</v>
      </c>
      <c r="G684" s="113">
        <f t="shared" ref="G684:H684" si="188">G685</f>
        <v>925.9</v>
      </c>
      <c r="H684" s="113">
        <f t="shared" si="188"/>
        <v>925.9</v>
      </c>
    </row>
    <row r="685" spans="1:8" s="20" customFormat="1" ht="77.25" x14ac:dyDescent="0.25">
      <c r="A685" s="16" t="s">
        <v>122</v>
      </c>
      <c r="B685" s="16" t="s">
        <v>94</v>
      </c>
      <c r="C685" s="135" t="s">
        <v>691</v>
      </c>
      <c r="D685" s="16" t="s">
        <v>19</v>
      </c>
      <c r="E685" s="99" t="s">
        <v>360</v>
      </c>
      <c r="F685" s="113">
        <f>926.8-0.9</f>
        <v>925.9</v>
      </c>
      <c r="G685" s="113">
        <f t="shared" ref="G685:H685" si="189">926.8-0.9</f>
        <v>925.9</v>
      </c>
      <c r="H685" s="113">
        <f t="shared" si="189"/>
        <v>925.9</v>
      </c>
    </row>
    <row r="686" spans="1:8" s="20" customFormat="1" ht="42" customHeight="1" x14ac:dyDescent="0.25">
      <c r="A686" s="16" t="s">
        <v>122</v>
      </c>
      <c r="B686" s="16" t="s">
        <v>94</v>
      </c>
      <c r="C686" s="74" t="s">
        <v>475</v>
      </c>
      <c r="D686" s="16"/>
      <c r="E686" s="99" t="s">
        <v>476</v>
      </c>
      <c r="F686" s="113">
        <f>F687</f>
        <v>100</v>
      </c>
      <c r="G686" s="113">
        <f t="shared" ref="G686:H686" si="190">G687</f>
        <v>0</v>
      </c>
      <c r="H686" s="113">
        <f t="shared" si="190"/>
        <v>0</v>
      </c>
    </row>
    <row r="687" spans="1:8" s="20" customFormat="1" ht="77.25" x14ac:dyDescent="0.25">
      <c r="A687" s="16" t="s">
        <v>122</v>
      </c>
      <c r="B687" s="16" t="s">
        <v>94</v>
      </c>
      <c r="C687" s="74" t="s">
        <v>475</v>
      </c>
      <c r="D687" s="16" t="s">
        <v>19</v>
      </c>
      <c r="E687" s="99" t="s">
        <v>360</v>
      </c>
      <c r="F687" s="113">
        <v>100</v>
      </c>
      <c r="G687" s="113">
        <v>0</v>
      </c>
      <c r="H687" s="113">
        <v>0</v>
      </c>
    </row>
    <row r="688" spans="1:8" s="20" customFormat="1" ht="76.5" x14ac:dyDescent="0.25">
      <c r="A688" s="16" t="s">
        <v>122</v>
      </c>
      <c r="B688" s="16" t="s">
        <v>94</v>
      </c>
      <c r="C688" s="74">
        <v>420223235</v>
      </c>
      <c r="D688" s="30"/>
      <c r="E688" s="98" t="s">
        <v>659</v>
      </c>
      <c r="F688" s="113">
        <f>F689</f>
        <v>686.3</v>
      </c>
      <c r="G688" s="113">
        <f>G689</f>
        <v>575.29999999999995</v>
      </c>
      <c r="H688" s="113">
        <f>H689</f>
        <v>575.29999999999995</v>
      </c>
    </row>
    <row r="689" spans="1:8" s="20" customFormat="1" ht="38.25" x14ac:dyDescent="0.25">
      <c r="A689" s="16" t="s">
        <v>122</v>
      </c>
      <c r="B689" s="16" t="s">
        <v>94</v>
      </c>
      <c r="C689" s="74">
        <v>420223235</v>
      </c>
      <c r="D689" s="82" t="s">
        <v>211</v>
      </c>
      <c r="E689" s="98" t="s">
        <v>212</v>
      </c>
      <c r="F689" s="113">
        <f>575.3+111</f>
        <v>686.3</v>
      </c>
      <c r="G689" s="113">
        <v>575.29999999999995</v>
      </c>
      <c r="H689" s="113">
        <v>575.29999999999995</v>
      </c>
    </row>
    <row r="690" spans="1:8" ht="62.25" customHeight="1" x14ac:dyDescent="0.2">
      <c r="A690" s="16" t="s">
        <v>122</v>
      </c>
      <c r="B690" s="16" t="s">
        <v>94</v>
      </c>
      <c r="C690" s="74">
        <v>420223240</v>
      </c>
      <c r="D690" s="82"/>
      <c r="E690" s="98" t="s">
        <v>658</v>
      </c>
      <c r="F690" s="113">
        <f>F691</f>
        <v>548.5</v>
      </c>
      <c r="G690" s="113">
        <f t="shared" ref="G690:H690" si="191">G691</f>
        <v>436.8</v>
      </c>
      <c r="H690" s="113">
        <f t="shared" si="191"/>
        <v>436.8</v>
      </c>
    </row>
    <row r="691" spans="1:8" ht="38.25" x14ac:dyDescent="0.2">
      <c r="A691" s="16" t="s">
        <v>122</v>
      </c>
      <c r="B691" s="16" t="s">
        <v>94</v>
      </c>
      <c r="C691" s="74">
        <v>420223240</v>
      </c>
      <c r="D691" s="82" t="s">
        <v>211</v>
      </c>
      <c r="E691" s="98" t="s">
        <v>212</v>
      </c>
      <c r="F691" s="113">
        <f>436.8+111.7</f>
        <v>548.5</v>
      </c>
      <c r="G691" s="113">
        <v>436.8</v>
      </c>
      <c r="H691" s="113">
        <v>436.8</v>
      </c>
    </row>
    <row r="692" spans="1:8" ht="47.25" x14ac:dyDescent="0.25">
      <c r="A692" s="4" t="s">
        <v>9</v>
      </c>
      <c r="B692" s="5"/>
      <c r="C692" s="1"/>
      <c r="D692" s="1"/>
      <c r="E692" s="10" t="s">
        <v>600</v>
      </c>
      <c r="F692" s="117">
        <f>F693</f>
        <v>25</v>
      </c>
      <c r="G692" s="117">
        <f t="shared" ref="G692:H695" si="192">G693</f>
        <v>0</v>
      </c>
      <c r="H692" s="117">
        <f t="shared" si="192"/>
        <v>0</v>
      </c>
    </row>
    <row r="693" spans="1:8" ht="25.5" x14ac:dyDescent="0.2">
      <c r="A693" s="47" t="s">
        <v>9</v>
      </c>
      <c r="B693" s="47" t="s">
        <v>88</v>
      </c>
      <c r="C693" s="23"/>
      <c r="D693" s="23"/>
      <c r="E693" s="48" t="s">
        <v>601</v>
      </c>
      <c r="F693" s="119">
        <f>F694</f>
        <v>25</v>
      </c>
      <c r="G693" s="119">
        <f t="shared" si="192"/>
        <v>0</v>
      </c>
      <c r="H693" s="119">
        <f t="shared" si="192"/>
        <v>0</v>
      </c>
    </row>
    <row r="694" spans="1:8" ht="38.25" x14ac:dyDescent="0.2">
      <c r="A694" s="82" t="s">
        <v>9</v>
      </c>
      <c r="B694" s="82" t="s">
        <v>88</v>
      </c>
      <c r="C694" s="82" t="s">
        <v>24</v>
      </c>
      <c r="D694" s="82"/>
      <c r="E694" s="99" t="s">
        <v>38</v>
      </c>
      <c r="F694" s="220">
        <f>F695</f>
        <v>25</v>
      </c>
      <c r="G694" s="220">
        <f t="shared" si="192"/>
        <v>0</v>
      </c>
      <c r="H694" s="220">
        <f t="shared" si="192"/>
        <v>0</v>
      </c>
    </row>
    <row r="695" spans="1:8" ht="25.5" x14ac:dyDescent="0.2">
      <c r="A695" s="82" t="s">
        <v>9</v>
      </c>
      <c r="B695" s="82" t="s">
        <v>88</v>
      </c>
      <c r="C695" s="1">
        <v>9940026500</v>
      </c>
      <c r="D695" s="1"/>
      <c r="E695" s="99" t="s">
        <v>602</v>
      </c>
      <c r="F695" s="220">
        <f>F696</f>
        <v>25</v>
      </c>
      <c r="G695" s="220">
        <f t="shared" si="192"/>
        <v>0</v>
      </c>
      <c r="H695" s="220">
        <f t="shared" si="192"/>
        <v>0</v>
      </c>
    </row>
    <row r="696" spans="1:8" x14ac:dyDescent="0.2">
      <c r="A696" s="82" t="s">
        <v>9</v>
      </c>
      <c r="B696" s="82" t="s">
        <v>88</v>
      </c>
      <c r="C696" s="1">
        <v>9940026500</v>
      </c>
      <c r="D696" s="82" t="s">
        <v>603</v>
      </c>
      <c r="E696" s="1" t="s">
        <v>604</v>
      </c>
      <c r="F696" s="220">
        <v>25</v>
      </c>
      <c r="G696" s="220">
        <v>0</v>
      </c>
      <c r="H696" s="220">
        <v>0</v>
      </c>
    </row>
  </sheetData>
  <mergeCells count="9">
    <mergeCell ref="A16:H16"/>
    <mergeCell ref="A19:A21"/>
    <mergeCell ref="B19:B21"/>
    <mergeCell ref="C19:C21"/>
    <mergeCell ref="D19:D21"/>
    <mergeCell ref="E19:E21"/>
    <mergeCell ref="F19:H19"/>
    <mergeCell ref="F20:F21"/>
    <mergeCell ref="G20:H20"/>
  </mergeCells>
  <pageMargins left="0.7" right="0.7" top="0.75" bottom="0.75" header="0.3" footer="0.3"/>
  <pageSetup paperSize="9" scale="97" fitToHeight="0" orientation="portrait" r:id="rId1"/>
  <headerFooter>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799"/>
  <sheetViews>
    <sheetView view="pageBreakPreview" topLeftCell="B1" zoomScale="60" zoomScaleNormal="100" workbookViewId="0">
      <selection activeCell="H6" sqref="H6"/>
    </sheetView>
  </sheetViews>
  <sheetFormatPr defaultColWidth="9.140625" defaultRowHeight="12.75" x14ac:dyDescent="0.2"/>
  <cols>
    <col min="1" max="1" width="2.28515625" hidden="1" customWidth="1"/>
    <col min="2" max="2" width="3.7109375" style="68" customWidth="1"/>
    <col min="3" max="3" width="2.85546875" customWidth="1"/>
    <col min="4" max="4" width="2.5703125" customWidth="1"/>
    <col min="5" max="5" width="11.5703125" customWidth="1"/>
    <col min="6" max="6" width="3.42578125" customWidth="1"/>
    <col min="7" max="7" width="35.85546875" customWidth="1"/>
    <col min="8" max="9" width="11" customWidth="1"/>
    <col min="10" max="10" width="10.7109375" customWidth="1"/>
    <col min="11" max="11" width="16.85546875" customWidth="1"/>
  </cols>
  <sheetData>
    <row r="1" spans="1:10" x14ac:dyDescent="0.2">
      <c r="G1" s="85" t="s">
        <v>564</v>
      </c>
    </row>
    <row r="2" spans="1:10" x14ac:dyDescent="0.2">
      <c r="G2" s="85" t="s">
        <v>565</v>
      </c>
    </row>
    <row r="3" spans="1:10" x14ac:dyDescent="0.2">
      <c r="G3" s="85" t="s">
        <v>830</v>
      </c>
    </row>
    <row r="4" spans="1:10" x14ac:dyDescent="0.2">
      <c r="G4" s="85" t="s">
        <v>621</v>
      </c>
    </row>
    <row r="5" spans="1:10" x14ac:dyDescent="0.2">
      <c r="G5" s="85" t="s">
        <v>682</v>
      </c>
    </row>
    <row r="6" spans="1:10" x14ac:dyDescent="0.2">
      <c r="G6" s="85" t="s">
        <v>143</v>
      </c>
    </row>
    <row r="7" spans="1:10" x14ac:dyDescent="0.2">
      <c r="G7" s="85" t="s">
        <v>654</v>
      </c>
    </row>
    <row r="8" spans="1:10" x14ac:dyDescent="0.2">
      <c r="G8" s="85"/>
    </row>
    <row r="9" spans="1:10" s="111" customFormat="1" x14ac:dyDescent="0.2">
      <c r="B9" s="259" t="s">
        <v>86</v>
      </c>
      <c r="C9" s="259"/>
      <c r="G9" s="85" t="s">
        <v>564</v>
      </c>
      <c r="H9" s="86"/>
      <c r="I9" s="86"/>
      <c r="J9" s="86"/>
    </row>
    <row r="10" spans="1:10" s="111" customFormat="1" x14ac:dyDescent="0.2">
      <c r="B10" s="260" t="s">
        <v>136</v>
      </c>
      <c r="C10" s="260"/>
      <c r="G10" s="85" t="s">
        <v>370</v>
      </c>
      <c r="H10" s="85"/>
      <c r="I10" s="86"/>
      <c r="J10" s="86"/>
    </row>
    <row r="11" spans="1:10" s="111" customFormat="1" x14ac:dyDescent="0.2">
      <c r="B11" s="259" t="s">
        <v>129</v>
      </c>
      <c r="C11" s="259"/>
      <c r="G11" s="85" t="s">
        <v>685</v>
      </c>
      <c r="H11" s="85"/>
      <c r="I11" s="86"/>
      <c r="J11" s="86"/>
    </row>
    <row r="12" spans="1:10" x14ac:dyDescent="0.2">
      <c r="G12" s="85" t="s">
        <v>143</v>
      </c>
      <c r="H12" s="85"/>
      <c r="I12" s="86"/>
      <c r="J12" s="86"/>
    </row>
    <row r="13" spans="1:10" x14ac:dyDescent="0.2">
      <c r="G13" s="85" t="s">
        <v>654</v>
      </c>
      <c r="H13" s="85"/>
      <c r="I13" s="86"/>
      <c r="J13" s="86"/>
    </row>
    <row r="14" spans="1:10" x14ac:dyDescent="0.2">
      <c r="G14" s="85"/>
      <c r="H14" s="85"/>
      <c r="I14" s="86"/>
      <c r="J14" s="86"/>
    </row>
    <row r="15" spans="1:10" x14ac:dyDescent="0.2">
      <c r="G15" s="7"/>
      <c r="H15" s="7"/>
    </row>
    <row r="16" spans="1:10" ht="79.5" customHeight="1" x14ac:dyDescent="0.2">
      <c r="A16" s="237" t="s">
        <v>686</v>
      </c>
      <c r="B16" s="257"/>
      <c r="C16" s="257"/>
      <c r="D16" s="257"/>
      <c r="E16" s="257"/>
      <c r="F16" s="257"/>
      <c r="G16" s="257"/>
      <c r="H16" s="257"/>
      <c r="I16" s="258"/>
      <c r="J16" s="258"/>
    </row>
    <row r="17" spans="1:10" ht="15" x14ac:dyDescent="0.2">
      <c r="A17" s="109"/>
      <c r="B17" s="110"/>
      <c r="C17" s="110"/>
      <c r="D17" s="110"/>
      <c r="E17" s="110"/>
      <c r="F17" s="110"/>
      <c r="G17" s="110"/>
      <c r="H17" s="110"/>
    </row>
    <row r="18" spans="1:10" x14ac:dyDescent="0.2">
      <c r="B18" s="263" t="s">
        <v>128</v>
      </c>
      <c r="C18" s="241" t="s">
        <v>117</v>
      </c>
      <c r="D18" s="241" t="s">
        <v>118</v>
      </c>
      <c r="E18" s="241" t="s">
        <v>119</v>
      </c>
      <c r="F18" s="241" t="s">
        <v>113</v>
      </c>
      <c r="G18" s="241" t="s">
        <v>90</v>
      </c>
      <c r="H18" s="256" t="s">
        <v>27</v>
      </c>
      <c r="I18" s="236"/>
      <c r="J18" s="236"/>
    </row>
    <row r="19" spans="1:10" x14ac:dyDescent="0.2">
      <c r="A19" s="261" t="s">
        <v>87</v>
      </c>
      <c r="B19" s="236"/>
      <c r="C19" s="242"/>
      <c r="D19" s="242"/>
      <c r="E19" s="242"/>
      <c r="F19" s="242"/>
      <c r="G19" s="242"/>
      <c r="H19" s="247" t="s">
        <v>464</v>
      </c>
      <c r="I19" s="236" t="s">
        <v>140</v>
      </c>
      <c r="J19" s="236"/>
    </row>
    <row r="20" spans="1:10" x14ac:dyDescent="0.2">
      <c r="A20" s="262"/>
      <c r="B20" s="236"/>
      <c r="C20" s="243"/>
      <c r="D20" s="243"/>
      <c r="E20" s="243"/>
      <c r="F20" s="243"/>
      <c r="G20" s="243"/>
      <c r="H20" s="248"/>
      <c r="I20" s="143" t="s">
        <v>590</v>
      </c>
      <c r="J20" s="143" t="s">
        <v>655</v>
      </c>
    </row>
    <row r="21" spans="1:10" x14ac:dyDescent="0.2">
      <c r="A21" s="2">
        <v>1</v>
      </c>
      <c r="B21" s="69">
        <v>1</v>
      </c>
      <c r="C21" s="69">
        <v>2</v>
      </c>
      <c r="D21" s="69">
        <v>3</v>
      </c>
      <c r="E21" s="69">
        <v>4</v>
      </c>
      <c r="F21" s="69">
        <v>5</v>
      </c>
      <c r="G21" s="69">
        <v>6</v>
      </c>
      <c r="H21" s="69">
        <v>7</v>
      </c>
      <c r="I21" s="69">
        <v>8</v>
      </c>
      <c r="J21" s="69">
        <v>9</v>
      </c>
    </row>
    <row r="22" spans="1:10" ht="18" x14ac:dyDescent="0.25">
      <c r="A22" s="12"/>
      <c r="B22" s="25"/>
      <c r="C22" s="12"/>
      <c r="D22" s="12"/>
      <c r="E22" s="12"/>
      <c r="F22" s="12"/>
      <c r="G22" s="9" t="s">
        <v>92</v>
      </c>
      <c r="H22" s="59">
        <f>H23+H33+H42+H489+H660+H783</f>
        <v>1815249.1</v>
      </c>
      <c r="I22" s="59">
        <f>I23+I33+I42+I489+I660+I783</f>
        <v>1310028.5</v>
      </c>
      <c r="J22" s="59">
        <f>J23+J33+J42+J489+J660+J783</f>
        <v>1299019.8000000003</v>
      </c>
    </row>
    <row r="23" spans="1:10" ht="36" x14ac:dyDescent="0.25">
      <c r="A23" s="3">
        <v>1</v>
      </c>
      <c r="B23" s="91">
        <v>936</v>
      </c>
      <c r="C23" s="13"/>
      <c r="D23" s="13"/>
      <c r="E23" s="13"/>
      <c r="F23" s="13"/>
      <c r="G23" s="14" t="s">
        <v>138</v>
      </c>
      <c r="H23" s="92">
        <f t="shared" ref="H23:J26" si="0">H24</f>
        <v>4542.8</v>
      </c>
      <c r="I23" s="92">
        <f t="shared" si="0"/>
        <v>4420.3</v>
      </c>
      <c r="J23" s="92">
        <f t="shared" si="0"/>
        <v>4420.3</v>
      </c>
    </row>
    <row r="24" spans="1:10" ht="18.75" customHeight="1" x14ac:dyDescent="0.25">
      <c r="A24" s="3"/>
      <c r="B24" s="91"/>
      <c r="C24" s="4" t="s">
        <v>88</v>
      </c>
      <c r="D24" s="11"/>
      <c r="E24" s="11"/>
      <c r="F24" s="11"/>
      <c r="G24" s="49" t="s">
        <v>91</v>
      </c>
      <c r="H24" s="92">
        <f t="shared" si="0"/>
        <v>4542.8</v>
      </c>
      <c r="I24" s="92">
        <f t="shared" si="0"/>
        <v>4420.3</v>
      </c>
      <c r="J24" s="92">
        <f t="shared" si="0"/>
        <v>4420.3</v>
      </c>
    </row>
    <row r="25" spans="1:10" ht="64.5" x14ac:dyDescent="0.25">
      <c r="A25" s="29"/>
      <c r="B25" s="24"/>
      <c r="C25" s="30" t="s">
        <v>88</v>
      </c>
      <c r="D25" s="30" t="s">
        <v>93</v>
      </c>
      <c r="E25" s="31"/>
      <c r="F25" s="31"/>
      <c r="G25" s="48" t="s">
        <v>127</v>
      </c>
      <c r="H25" s="43">
        <f t="shared" si="0"/>
        <v>4542.8</v>
      </c>
      <c r="I25" s="43">
        <f t="shared" si="0"/>
        <v>4420.3</v>
      </c>
      <c r="J25" s="43">
        <f t="shared" si="0"/>
        <v>4420.3</v>
      </c>
    </row>
    <row r="26" spans="1:10" ht="25.5" x14ac:dyDescent="0.2">
      <c r="A26" s="1"/>
      <c r="B26" s="25"/>
      <c r="C26" s="16" t="s">
        <v>88</v>
      </c>
      <c r="D26" s="16" t="s">
        <v>93</v>
      </c>
      <c r="E26" s="79">
        <v>9900000000</v>
      </c>
      <c r="F26" s="21"/>
      <c r="G26" s="55" t="s">
        <v>145</v>
      </c>
      <c r="H26" s="41">
        <f t="shared" si="0"/>
        <v>4542.8</v>
      </c>
      <c r="I26" s="41">
        <f t="shared" si="0"/>
        <v>4420.3</v>
      </c>
      <c r="J26" s="41">
        <f t="shared" si="0"/>
        <v>4420.3</v>
      </c>
    </row>
    <row r="27" spans="1:10" ht="38.25" x14ac:dyDescent="0.2">
      <c r="A27" s="1"/>
      <c r="B27" s="25"/>
      <c r="C27" s="16" t="s">
        <v>88</v>
      </c>
      <c r="D27" s="16" t="s">
        <v>93</v>
      </c>
      <c r="E27" s="79">
        <v>9990000000</v>
      </c>
      <c r="F27" s="16"/>
      <c r="G27" s="54" t="s">
        <v>28</v>
      </c>
      <c r="H27" s="41">
        <f t="shared" ref="H27" si="1">H28+H30</f>
        <v>4542.8</v>
      </c>
      <c r="I27" s="41">
        <f t="shared" ref="I27:J27" si="2">I28+I30</f>
        <v>4420.3</v>
      </c>
      <c r="J27" s="41">
        <f t="shared" si="2"/>
        <v>4420.3</v>
      </c>
    </row>
    <row r="28" spans="1:10" x14ac:dyDescent="0.2">
      <c r="A28" s="1"/>
      <c r="B28" s="25"/>
      <c r="C28" s="16" t="s">
        <v>88</v>
      </c>
      <c r="D28" s="16" t="s">
        <v>93</v>
      </c>
      <c r="E28" s="79">
        <v>9990022400</v>
      </c>
      <c r="F28" s="16"/>
      <c r="G28" s="98" t="s">
        <v>139</v>
      </c>
      <c r="H28" s="41">
        <f>H29</f>
        <v>1714.7</v>
      </c>
      <c r="I28" s="41">
        <f>I29</f>
        <v>1652.8</v>
      </c>
      <c r="J28" s="41">
        <f>J29</f>
        <v>1652.8</v>
      </c>
    </row>
    <row r="29" spans="1:10" ht="38.25" x14ac:dyDescent="0.2">
      <c r="A29" s="1"/>
      <c r="B29" s="25"/>
      <c r="C29" s="16" t="s">
        <v>88</v>
      </c>
      <c r="D29" s="16" t="s">
        <v>93</v>
      </c>
      <c r="E29" s="79">
        <v>9990022400</v>
      </c>
      <c r="F29" s="16" t="s">
        <v>62</v>
      </c>
      <c r="G29" s="55" t="s">
        <v>63</v>
      </c>
      <c r="H29" s="39">
        <f>1652.8+61.9</f>
        <v>1714.7</v>
      </c>
      <c r="I29" s="39">
        <v>1652.8</v>
      </c>
      <c r="J29" s="39">
        <v>1652.8</v>
      </c>
    </row>
    <row r="30" spans="1:10" ht="25.5" x14ac:dyDescent="0.2">
      <c r="A30" s="1"/>
      <c r="B30" s="25"/>
      <c r="C30" s="16" t="s">
        <v>88</v>
      </c>
      <c r="D30" s="16" t="s">
        <v>93</v>
      </c>
      <c r="E30" s="79">
        <v>9990022500</v>
      </c>
      <c r="F30" s="21"/>
      <c r="G30" s="99" t="s">
        <v>589</v>
      </c>
      <c r="H30" s="41">
        <f>SUM(H31:H32)</f>
        <v>2828.1</v>
      </c>
      <c r="I30" s="41">
        <f>SUM(I31:I32)</f>
        <v>2767.5</v>
      </c>
      <c r="J30" s="41">
        <f>SUM(J31:J32)</f>
        <v>2767.5</v>
      </c>
    </row>
    <row r="31" spans="1:10" ht="38.25" x14ac:dyDescent="0.2">
      <c r="A31" s="1"/>
      <c r="B31" s="25"/>
      <c r="C31" s="16" t="s">
        <v>88</v>
      </c>
      <c r="D31" s="16" t="s">
        <v>93</v>
      </c>
      <c r="E31" s="79">
        <v>9990022500</v>
      </c>
      <c r="F31" s="16" t="s">
        <v>62</v>
      </c>
      <c r="G31" s="55" t="s">
        <v>63</v>
      </c>
      <c r="H31" s="39">
        <f>2650.5+60.6</f>
        <v>2711.1</v>
      </c>
      <c r="I31" s="39">
        <v>2650.5</v>
      </c>
      <c r="J31" s="39">
        <v>2650.5</v>
      </c>
    </row>
    <row r="32" spans="1:10" ht="38.25" x14ac:dyDescent="0.2">
      <c r="A32" s="1"/>
      <c r="B32" s="25"/>
      <c r="C32" s="16" t="s">
        <v>88</v>
      </c>
      <c r="D32" s="16" t="s">
        <v>93</v>
      </c>
      <c r="E32" s="79">
        <v>9990022500</v>
      </c>
      <c r="F32" s="82" t="s">
        <v>211</v>
      </c>
      <c r="G32" s="98" t="s">
        <v>212</v>
      </c>
      <c r="H32" s="39">
        <f>117+150-150</f>
        <v>117</v>
      </c>
      <c r="I32" s="39">
        <v>117</v>
      </c>
      <c r="J32" s="39">
        <v>117</v>
      </c>
    </row>
    <row r="33" spans="1:10" ht="47.25" x14ac:dyDescent="0.25">
      <c r="A33" s="1"/>
      <c r="B33" s="91">
        <v>939</v>
      </c>
      <c r="C33" s="13"/>
      <c r="D33" s="13"/>
      <c r="E33" s="13"/>
      <c r="F33" s="13"/>
      <c r="G33" s="10" t="s">
        <v>200</v>
      </c>
      <c r="H33" s="92">
        <f t="shared" ref="H33:J33" si="3">H34</f>
        <v>2075.5</v>
      </c>
      <c r="I33" s="92">
        <f t="shared" si="3"/>
        <v>1964.2</v>
      </c>
      <c r="J33" s="92">
        <f t="shared" si="3"/>
        <v>1964.2</v>
      </c>
    </row>
    <row r="34" spans="1:10" ht="18" customHeight="1" x14ac:dyDescent="0.25">
      <c r="A34" s="1"/>
      <c r="B34" s="91"/>
      <c r="C34" s="4" t="s">
        <v>88</v>
      </c>
      <c r="D34" s="11"/>
      <c r="E34" s="11"/>
      <c r="F34" s="11"/>
      <c r="G34" s="49" t="s">
        <v>91</v>
      </c>
      <c r="H34" s="92">
        <f t="shared" ref="H34:J34" si="4">H35</f>
        <v>2075.5</v>
      </c>
      <c r="I34" s="92">
        <f t="shared" si="4"/>
        <v>1964.2</v>
      </c>
      <c r="J34" s="92">
        <f t="shared" si="4"/>
        <v>1964.2</v>
      </c>
    </row>
    <row r="35" spans="1:10" ht="49.5" customHeight="1" x14ac:dyDescent="0.2">
      <c r="A35" s="1"/>
      <c r="B35" s="24"/>
      <c r="C35" s="30" t="s">
        <v>88</v>
      </c>
      <c r="D35" s="30" t="s">
        <v>96</v>
      </c>
      <c r="E35" s="31"/>
      <c r="F35" s="31"/>
      <c r="G35" s="46" t="s">
        <v>125</v>
      </c>
      <c r="H35" s="93">
        <f t="shared" ref="H35:J35" si="5">H36</f>
        <v>2075.5</v>
      </c>
      <c r="I35" s="93">
        <f t="shared" si="5"/>
        <v>1964.2</v>
      </c>
      <c r="J35" s="93">
        <f t="shared" si="5"/>
        <v>1964.2</v>
      </c>
    </row>
    <row r="36" spans="1:10" ht="38.25" x14ac:dyDescent="0.2">
      <c r="A36" s="1"/>
      <c r="B36" s="24"/>
      <c r="C36" s="16" t="s">
        <v>88</v>
      </c>
      <c r="D36" s="82" t="s">
        <v>96</v>
      </c>
      <c r="E36" s="79">
        <v>9990000000</v>
      </c>
      <c r="F36" s="16"/>
      <c r="G36" s="54" t="s">
        <v>28</v>
      </c>
      <c r="H36" s="39">
        <f>H37+H39</f>
        <v>2075.5</v>
      </c>
      <c r="I36" s="39">
        <f t="shared" ref="I36:J36" si="6">I37+I39</f>
        <v>1964.2</v>
      </c>
      <c r="J36" s="39">
        <f t="shared" si="6"/>
        <v>1964.2</v>
      </c>
    </row>
    <row r="37" spans="1:10" ht="25.5" x14ac:dyDescent="0.2">
      <c r="A37" s="1"/>
      <c r="B37" s="24"/>
      <c r="C37" s="16" t="s">
        <v>88</v>
      </c>
      <c r="D37" s="16" t="s">
        <v>96</v>
      </c>
      <c r="E37" s="79">
        <v>9990022350</v>
      </c>
      <c r="F37" s="16"/>
      <c r="G37" s="98" t="s">
        <v>662</v>
      </c>
      <c r="H37" s="39">
        <f>H38</f>
        <v>1298.2000000000003</v>
      </c>
      <c r="I37" s="39">
        <f t="shared" ref="I37:J37" si="7">I38</f>
        <v>1291.4000000000001</v>
      </c>
      <c r="J37" s="39">
        <f t="shared" si="7"/>
        <v>1291.4000000000001</v>
      </c>
    </row>
    <row r="38" spans="1:10" ht="38.25" x14ac:dyDescent="0.2">
      <c r="A38" s="1"/>
      <c r="B38" s="24"/>
      <c r="C38" s="16" t="s">
        <v>88</v>
      </c>
      <c r="D38" s="16" t="s">
        <v>96</v>
      </c>
      <c r="E38" s="79">
        <v>9990022350</v>
      </c>
      <c r="F38" s="16" t="s">
        <v>62</v>
      </c>
      <c r="G38" s="99" t="s">
        <v>78</v>
      </c>
      <c r="H38" s="39">
        <f>1291.4+56.4-49.6</f>
        <v>1298.2000000000003</v>
      </c>
      <c r="I38" s="39">
        <v>1291.4000000000001</v>
      </c>
      <c r="J38" s="39">
        <v>1291.4000000000001</v>
      </c>
    </row>
    <row r="39" spans="1:10" ht="25.5" x14ac:dyDescent="0.2">
      <c r="A39" s="1"/>
      <c r="B39" s="25"/>
      <c r="C39" s="16" t="s">
        <v>88</v>
      </c>
      <c r="D39" s="82" t="s">
        <v>96</v>
      </c>
      <c r="E39" s="79">
        <v>9990022300</v>
      </c>
      <c r="F39" s="21"/>
      <c r="G39" s="99" t="s">
        <v>200</v>
      </c>
      <c r="H39" s="41">
        <f>H40+H41</f>
        <v>777.3</v>
      </c>
      <c r="I39" s="41">
        <f>I40+I41</f>
        <v>672.8</v>
      </c>
      <c r="J39" s="41">
        <f>J40+J41</f>
        <v>672.8</v>
      </c>
    </row>
    <row r="40" spans="1:10" ht="38.25" x14ac:dyDescent="0.2">
      <c r="A40" s="1"/>
      <c r="B40" s="25"/>
      <c r="C40" s="16" t="s">
        <v>88</v>
      </c>
      <c r="D40" s="82" t="s">
        <v>96</v>
      </c>
      <c r="E40" s="79">
        <v>9990022300</v>
      </c>
      <c r="F40" s="16" t="s">
        <v>62</v>
      </c>
      <c r="G40" s="99" t="s">
        <v>78</v>
      </c>
      <c r="H40" s="39">
        <f>694.3+30.4-15.8+47.6</f>
        <v>756.5</v>
      </c>
      <c r="I40" s="39">
        <v>669.3</v>
      </c>
      <c r="J40" s="39">
        <v>669.3</v>
      </c>
    </row>
    <row r="41" spans="1:10" ht="38.25" x14ac:dyDescent="0.2">
      <c r="A41" s="1"/>
      <c r="B41" s="25"/>
      <c r="C41" s="16" t="s">
        <v>88</v>
      </c>
      <c r="D41" s="82" t="s">
        <v>96</v>
      </c>
      <c r="E41" s="79">
        <v>9990022300</v>
      </c>
      <c r="F41" s="82" t="s">
        <v>211</v>
      </c>
      <c r="G41" s="98" t="s">
        <v>212</v>
      </c>
      <c r="H41" s="39">
        <f>50.1-47.1+15.8+2</f>
        <v>20.8</v>
      </c>
      <c r="I41" s="39">
        <v>3.5</v>
      </c>
      <c r="J41" s="39">
        <v>3.5</v>
      </c>
    </row>
    <row r="42" spans="1:10" s="8" customFormat="1" ht="54" x14ac:dyDescent="0.25">
      <c r="A42" s="3">
        <v>2</v>
      </c>
      <c r="B42" s="91">
        <v>937</v>
      </c>
      <c r="C42" s="13"/>
      <c r="D42" s="13"/>
      <c r="E42" s="13"/>
      <c r="F42" s="13"/>
      <c r="G42" s="14" t="s">
        <v>196</v>
      </c>
      <c r="H42" s="59">
        <f>H43+H116+H160+H267+H440+H471</f>
        <v>880053.3</v>
      </c>
      <c r="I42" s="59">
        <f>I43+I116+I160+I267+I440+I471</f>
        <v>405774.5</v>
      </c>
      <c r="J42" s="59">
        <f>J43+J116+J160+J267+J440+J471</f>
        <v>359479.00000000006</v>
      </c>
    </row>
    <row r="43" spans="1:10" ht="15.75" x14ac:dyDescent="0.25">
      <c r="A43" s="3"/>
      <c r="B43" s="91"/>
      <c r="C43" s="4" t="s">
        <v>88</v>
      </c>
      <c r="D43" s="11"/>
      <c r="E43" s="11"/>
      <c r="F43" s="11"/>
      <c r="G43" s="15" t="s">
        <v>91</v>
      </c>
      <c r="H43" s="92">
        <f>H44+H49+H59+H64</f>
        <v>279798.5</v>
      </c>
      <c r="I43" s="92">
        <f>I44+I49+I59+I64</f>
        <v>149389</v>
      </c>
      <c r="J43" s="92">
        <f>J44+J49+J59+J64</f>
        <v>107582.20000000001</v>
      </c>
    </row>
    <row r="44" spans="1:10" ht="51.75" x14ac:dyDescent="0.25">
      <c r="A44" s="3"/>
      <c r="B44" s="91"/>
      <c r="C44" s="30" t="s">
        <v>88</v>
      </c>
      <c r="D44" s="30" t="s">
        <v>89</v>
      </c>
      <c r="E44" s="30"/>
      <c r="F44" s="30"/>
      <c r="G44" s="46" t="s">
        <v>17</v>
      </c>
      <c r="H44" s="40">
        <f t="shared" ref="H44:J44" si="8">H45</f>
        <v>2787.2000000000003</v>
      </c>
      <c r="I44" s="40">
        <f t="shared" si="8"/>
        <v>2266.3000000000002</v>
      </c>
      <c r="J44" s="40">
        <f t="shared" si="8"/>
        <v>2266.3000000000002</v>
      </c>
    </row>
    <row r="45" spans="1:10" ht="25.5" x14ac:dyDescent="0.25">
      <c r="A45" s="3"/>
      <c r="B45" s="91"/>
      <c r="C45" s="16" t="s">
        <v>88</v>
      </c>
      <c r="D45" s="16" t="s">
        <v>89</v>
      </c>
      <c r="E45" s="79">
        <v>9900000000</v>
      </c>
      <c r="F45" s="16"/>
      <c r="G45" s="55" t="s">
        <v>144</v>
      </c>
      <c r="H45" s="41">
        <f t="shared" ref="H45" si="9">H47</f>
        <v>2787.2000000000003</v>
      </c>
      <c r="I45" s="41">
        <f t="shared" ref="I45:J45" si="10">I47</f>
        <v>2266.3000000000002</v>
      </c>
      <c r="J45" s="41">
        <f t="shared" si="10"/>
        <v>2266.3000000000002</v>
      </c>
    </row>
    <row r="46" spans="1:10" ht="38.25" x14ac:dyDescent="0.25">
      <c r="A46" s="3"/>
      <c r="B46" s="91"/>
      <c r="C46" s="16" t="s">
        <v>88</v>
      </c>
      <c r="D46" s="16" t="s">
        <v>89</v>
      </c>
      <c r="E46" s="79">
        <v>9980000000</v>
      </c>
      <c r="F46" s="16"/>
      <c r="G46" s="54" t="s">
        <v>29</v>
      </c>
      <c r="H46" s="41">
        <f>H47</f>
        <v>2787.2000000000003</v>
      </c>
      <c r="I46" s="41">
        <f>I47</f>
        <v>2266.3000000000002</v>
      </c>
      <c r="J46" s="41">
        <f>J47</f>
        <v>2266.3000000000002</v>
      </c>
    </row>
    <row r="47" spans="1:10" ht="15.75" x14ac:dyDescent="0.25">
      <c r="A47" s="3"/>
      <c r="B47" s="91"/>
      <c r="C47" s="16" t="s">
        <v>88</v>
      </c>
      <c r="D47" s="16" t="s">
        <v>89</v>
      </c>
      <c r="E47" s="79">
        <v>9980022100</v>
      </c>
      <c r="F47" s="16"/>
      <c r="G47" s="99" t="s">
        <v>114</v>
      </c>
      <c r="H47" s="39">
        <f>H48</f>
        <v>2787.2000000000003</v>
      </c>
      <c r="I47" s="39">
        <f t="shared" ref="I47:J47" si="11">I48</f>
        <v>2266.3000000000002</v>
      </c>
      <c r="J47" s="39">
        <f t="shared" si="11"/>
        <v>2266.3000000000002</v>
      </c>
    </row>
    <row r="48" spans="1:10" ht="39" x14ac:dyDescent="0.25">
      <c r="A48" s="3"/>
      <c r="B48" s="91"/>
      <c r="C48" s="16" t="s">
        <v>88</v>
      </c>
      <c r="D48" s="16" t="s">
        <v>89</v>
      </c>
      <c r="E48" s="79">
        <v>9980022100</v>
      </c>
      <c r="F48" s="16" t="s">
        <v>62</v>
      </c>
      <c r="G48" s="99" t="s">
        <v>78</v>
      </c>
      <c r="H48" s="39">
        <f>2266.3+81.4+439.5</f>
        <v>2787.2000000000003</v>
      </c>
      <c r="I48" s="39">
        <v>2266.3000000000002</v>
      </c>
      <c r="J48" s="39">
        <v>2266.3000000000002</v>
      </c>
    </row>
    <row r="49" spans="1:10" s="26" customFormat="1" ht="76.5" x14ac:dyDescent="0.2">
      <c r="A49" s="23"/>
      <c r="B49" s="24"/>
      <c r="C49" s="30" t="s">
        <v>88</v>
      </c>
      <c r="D49" s="30" t="s">
        <v>94</v>
      </c>
      <c r="E49" s="30"/>
      <c r="F49" s="30"/>
      <c r="G49" s="46" t="s">
        <v>124</v>
      </c>
      <c r="H49" s="40">
        <f t="shared" ref="H49:J49" si="12">H50</f>
        <v>58005.099999999984</v>
      </c>
      <c r="I49" s="40">
        <f t="shared" si="12"/>
        <v>56289.899999999994</v>
      </c>
      <c r="J49" s="40">
        <f t="shared" si="12"/>
        <v>56293.7</v>
      </c>
    </row>
    <row r="50" spans="1:10" ht="25.5" x14ac:dyDescent="0.2">
      <c r="A50" s="1"/>
      <c r="B50" s="25"/>
      <c r="C50" s="16" t="s">
        <v>88</v>
      </c>
      <c r="D50" s="16" t="s">
        <v>94</v>
      </c>
      <c r="E50" s="79">
        <v>9900000000</v>
      </c>
      <c r="F50" s="16"/>
      <c r="G50" s="55" t="s">
        <v>144</v>
      </c>
      <c r="H50" s="39">
        <f>H51+H54</f>
        <v>58005.099999999984</v>
      </c>
      <c r="I50" s="39">
        <f>I51+I54</f>
        <v>56289.899999999994</v>
      </c>
      <c r="J50" s="39">
        <f>J51+J54</f>
        <v>56293.7</v>
      </c>
    </row>
    <row r="51" spans="1:10" ht="25.5" x14ac:dyDescent="0.2">
      <c r="A51" s="1"/>
      <c r="B51" s="25"/>
      <c r="C51" s="16" t="s">
        <v>88</v>
      </c>
      <c r="D51" s="16" t="s">
        <v>94</v>
      </c>
      <c r="E51" s="79">
        <v>9930000000</v>
      </c>
      <c r="F51" s="16"/>
      <c r="G51" s="22" t="s">
        <v>40</v>
      </c>
      <c r="H51" s="39">
        <f t="shared" ref="H51:J52" si="13">H52</f>
        <v>478.1</v>
      </c>
      <c r="I51" s="39">
        <f t="shared" si="13"/>
        <v>481.7</v>
      </c>
      <c r="J51" s="39">
        <f t="shared" si="13"/>
        <v>485.5</v>
      </c>
    </row>
    <row r="52" spans="1:10" ht="63.75" x14ac:dyDescent="0.2">
      <c r="A52" s="1"/>
      <c r="B52" s="25"/>
      <c r="C52" s="16" t="s">
        <v>88</v>
      </c>
      <c r="D52" s="16" t="s">
        <v>94</v>
      </c>
      <c r="E52" s="79">
        <v>9930010510</v>
      </c>
      <c r="F52" s="16"/>
      <c r="G52" s="22" t="s">
        <v>15</v>
      </c>
      <c r="H52" s="39">
        <f>H53</f>
        <v>478.1</v>
      </c>
      <c r="I52" s="39">
        <f t="shared" si="13"/>
        <v>481.7</v>
      </c>
      <c r="J52" s="39">
        <f t="shared" si="13"/>
        <v>485.5</v>
      </c>
    </row>
    <row r="53" spans="1:10" ht="38.25" x14ac:dyDescent="0.2">
      <c r="A53" s="1"/>
      <c r="B53" s="25"/>
      <c r="C53" s="16" t="s">
        <v>88</v>
      </c>
      <c r="D53" s="16" t="s">
        <v>94</v>
      </c>
      <c r="E53" s="79">
        <v>9930010510</v>
      </c>
      <c r="F53" s="16" t="s">
        <v>62</v>
      </c>
      <c r="G53" s="102" t="s">
        <v>63</v>
      </c>
      <c r="H53" s="39">
        <v>478.1</v>
      </c>
      <c r="I53" s="39">
        <v>481.7</v>
      </c>
      <c r="J53" s="39">
        <v>485.5</v>
      </c>
    </row>
    <row r="54" spans="1:10" ht="38.25" x14ac:dyDescent="0.2">
      <c r="A54" s="1"/>
      <c r="B54" s="25"/>
      <c r="C54" s="16" t="s">
        <v>88</v>
      </c>
      <c r="D54" s="16" t="s">
        <v>94</v>
      </c>
      <c r="E54" s="79">
        <v>9980000000</v>
      </c>
      <c r="F54" s="16"/>
      <c r="G54" s="54" t="s">
        <v>29</v>
      </c>
      <c r="H54" s="39">
        <f t="shared" ref="H54:J54" si="14">H55</f>
        <v>57526.999999999985</v>
      </c>
      <c r="I54" s="39">
        <f t="shared" si="14"/>
        <v>55808.2</v>
      </c>
      <c r="J54" s="39">
        <f t="shared" si="14"/>
        <v>55808.2</v>
      </c>
    </row>
    <row r="55" spans="1:10" x14ac:dyDescent="0.2">
      <c r="A55" s="1"/>
      <c r="B55" s="25"/>
      <c r="C55" s="16" t="s">
        <v>88</v>
      </c>
      <c r="D55" s="16" t="s">
        <v>94</v>
      </c>
      <c r="E55" s="138">
        <v>9980022200</v>
      </c>
      <c r="F55" s="21"/>
      <c r="G55" s="99" t="s">
        <v>115</v>
      </c>
      <c r="H55" s="39">
        <f>SUM(H56:H58)</f>
        <v>57526.999999999985</v>
      </c>
      <c r="I55" s="39">
        <f t="shared" ref="I55:J55" si="15">SUM(I56:I58)</f>
        <v>55808.2</v>
      </c>
      <c r="J55" s="39">
        <f t="shared" si="15"/>
        <v>55808.2</v>
      </c>
    </row>
    <row r="56" spans="1:10" ht="38.25" x14ac:dyDescent="0.2">
      <c r="A56" s="1"/>
      <c r="B56" s="25"/>
      <c r="C56" s="16" t="s">
        <v>88</v>
      </c>
      <c r="D56" s="16" t="s">
        <v>94</v>
      </c>
      <c r="E56" s="138">
        <v>9980022200</v>
      </c>
      <c r="F56" s="16" t="s">
        <v>62</v>
      </c>
      <c r="G56" s="55" t="s">
        <v>63</v>
      </c>
      <c r="H56" s="39">
        <f>53934.1+1687.7-27.8-40-25.4</f>
        <v>55528.599999999991</v>
      </c>
      <c r="I56" s="39">
        <v>53934.1</v>
      </c>
      <c r="J56" s="39">
        <v>53934.1</v>
      </c>
    </row>
    <row r="57" spans="1:10" ht="38.25" x14ac:dyDescent="0.2">
      <c r="A57" s="1"/>
      <c r="B57" s="25"/>
      <c r="C57" s="16" t="s">
        <v>88</v>
      </c>
      <c r="D57" s="16" t="s">
        <v>94</v>
      </c>
      <c r="E57" s="138">
        <v>9980022200</v>
      </c>
      <c r="F57" s="82" t="s">
        <v>211</v>
      </c>
      <c r="G57" s="98" t="s">
        <v>212</v>
      </c>
      <c r="H57" s="39">
        <f>1874.1+71.1</f>
        <v>1945.1999999999998</v>
      </c>
      <c r="I57" s="39">
        <v>1874.1</v>
      </c>
      <c r="J57" s="39">
        <v>1874.1</v>
      </c>
    </row>
    <row r="58" spans="1:10" ht="38.25" x14ac:dyDescent="0.2">
      <c r="A58" s="1"/>
      <c r="B58" s="25"/>
      <c r="C58" s="16" t="s">
        <v>88</v>
      </c>
      <c r="D58" s="16" t="s">
        <v>94</v>
      </c>
      <c r="E58" s="138">
        <v>9980022200</v>
      </c>
      <c r="F58" s="82" t="s">
        <v>260</v>
      </c>
      <c r="G58" s="98" t="s">
        <v>249</v>
      </c>
      <c r="H58" s="39">
        <f>27.8+25.4</f>
        <v>53.2</v>
      </c>
      <c r="I58" s="39">
        <v>0</v>
      </c>
      <c r="J58" s="39">
        <v>0</v>
      </c>
    </row>
    <row r="59" spans="1:10" ht="14.25" x14ac:dyDescent="0.2">
      <c r="A59" s="1"/>
      <c r="B59" s="25"/>
      <c r="C59" s="35" t="s">
        <v>88</v>
      </c>
      <c r="D59" s="35" t="s">
        <v>95</v>
      </c>
      <c r="E59" s="35"/>
      <c r="F59" s="35"/>
      <c r="G59" s="46" t="s">
        <v>288</v>
      </c>
      <c r="H59" s="42">
        <f t="shared" ref="H59:J59" si="16">SUM(H60)</f>
        <v>8.3000000000000007</v>
      </c>
      <c r="I59" s="42">
        <f t="shared" si="16"/>
        <v>8.6</v>
      </c>
      <c r="J59" s="42">
        <f t="shared" si="16"/>
        <v>98</v>
      </c>
    </row>
    <row r="60" spans="1:10" ht="25.5" x14ac:dyDescent="0.2">
      <c r="A60" s="1"/>
      <c r="B60" s="25"/>
      <c r="C60" s="16" t="s">
        <v>88</v>
      </c>
      <c r="D60" s="82" t="s">
        <v>95</v>
      </c>
      <c r="E60" s="79">
        <v>9900000000</v>
      </c>
      <c r="F60" s="16"/>
      <c r="G60" s="55" t="s">
        <v>145</v>
      </c>
      <c r="H60" s="39">
        <f t="shared" ref="H60:J62" si="17">H61</f>
        <v>8.3000000000000007</v>
      </c>
      <c r="I60" s="39">
        <f t="shared" si="17"/>
        <v>8.6</v>
      </c>
      <c r="J60" s="39">
        <f t="shared" si="17"/>
        <v>98</v>
      </c>
    </row>
    <row r="61" spans="1:10" ht="25.5" x14ac:dyDescent="0.2">
      <c r="A61" s="1"/>
      <c r="B61" s="25"/>
      <c r="C61" s="16" t="s">
        <v>88</v>
      </c>
      <c r="D61" s="82" t="s">
        <v>95</v>
      </c>
      <c r="E61" s="79">
        <v>9930000000</v>
      </c>
      <c r="F61" s="16"/>
      <c r="G61" s="22" t="s">
        <v>40</v>
      </c>
      <c r="H61" s="39">
        <f t="shared" si="17"/>
        <v>8.3000000000000007</v>
      </c>
      <c r="I61" s="39">
        <f t="shared" si="17"/>
        <v>8.6</v>
      </c>
      <c r="J61" s="39">
        <f t="shared" si="17"/>
        <v>98</v>
      </c>
    </row>
    <row r="62" spans="1:10" ht="63.75" x14ac:dyDescent="0.2">
      <c r="A62" s="1"/>
      <c r="B62" s="25"/>
      <c r="C62" s="16" t="s">
        <v>88</v>
      </c>
      <c r="D62" s="82" t="s">
        <v>95</v>
      </c>
      <c r="E62" s="79">
        <v>9930051200</v>
      </c>
      <c r="F62" s="16"/>
      <c r="G62" s="54" t="s">
        <v>281</v>
      </c>
      <c r="H62" s="107">
        <f t="shared" si="17"/>
        <v>8.3000000000000007</v>
      </c>
      <c r="I62" s="39">
        <f t="shared" si="17"/>
        <v>8.6</v>
      </c>
      <c r="J62" s="39">
        <f t="shared" si="17"/>
        <v>98</v>
      </c>
    </row>
    <row r="63" spans="1:10" ht="38.25" x14ac:dyDescent="0.2">
      <c r="A63" s="1"/>
      <c r="B63" s="25"/>
      <c r="C63" s="16" t="s">
        <v>88</v>
      </c>
      <c r="D63" s="82" t="s">
        <v>95</v>
      </c>
      <c r="E63" s="79">
        <v>9930051200</v>
      </c>
      <c r="F63" s="82" t="s">
        <v>211</v>
      </c>
      <c r="G63" s="98" t="s">
        <v>212</v>
      </c>
      <c r="H63" s="107">
        <v>8.3000000000000007</v>
      </c>
      <c r="I63" s="107">
        <v>8.6</v>
      </c>
      <c r="J63" s="107">
        <v>98</v>
      </c>
    </row>
    <row r="64" spans="1:10" s="26" customFormat="1" ht="17.25" customHeight="1" x14ac:dyDescent="0.2">
      <c r="A64" s="23"/>
      <c r="B64" s="24"/>
      <c r="C64" s="30" t="s">
        <v>88</v>
      </c>
      <c r="D64" s="30" t="s">
        <v>9</v>
      </c>
      <c r="E64" s="33"/>
      <c r="F64" s="33"/>
      <c r="G64" s="46" t="s">
        <v>97</v>
      </c>
      <c r="H64" s="40">
        <f>H65+H96</f>
        <v>218997.9</v>
      </c>
      <c r="I64" s="40">
        <f>I65+I96</f>
        <v>90824.2</v>
      </c>
      <c r="J64" s="40">
        <f>J65+J96</f>
        <v>48924.200000000004</v>
      </c>
    </row>
    <row r="65" spans="1:10" ht="89.25" x14ac:dyDescent="0.2">
      <c r="A65" s="1"/>
      <c r="B65" s="25"/>
      <c r="C65" s="16" t="s">
        <v>88</v>
      </c>
      <c r="D65" s="16" t="s">
        <v>9</v>
      </c>
      <c r="E65" s="73" t="s">
        <v>69</v>
      </c>
      <c r="F65" s="16"/>
      <c r="G65" s="142" t="s">
        <v>576</v>
      </c>
      <c r="H65" s="96">
        <f t="shared" ref="H65:J65" si="18">H66</f>
        <v>165664.79999999999</v>
      </c>
      <c r="I65" s="96">
        <f t="shared" si="18"/>
        <v>49818.299999999996</v>
      </c>
      <c r="J65" s="96">
        <f t="shared" si="18"/>
        <v>7916.2</v>
      </c>
    </row>
    <row r="66" spans="1:10" ht="38.25" x14ac:dyDescent="0.2">
      <c r="A66" s="1"/>
      <c r="B66" s="25"/>
      <c r="C66" s="16" t="s">
        <v>88</v>
      </c>
      <c r="D66" s="16" t="s">
        <v>9</v>
      </c>
      <c r="E66" s="52" t="s">
        <v>70</v>
      </c>
      <c r="F66" s="16"/>
      <c r="G66" s="48" t="s">
        <v>157</v>
      </c>
      <c r="H66" s="93">
        <f>H67+H70</f>
        <v>165664.79999999999</v>
      </c>
      <c r="I66" s="93">
        <f t="shared" ref="I66:J66" si="19">I67+I70</f>
        <v>49818.299999999996</v>
      </c>
      <c r="J66" s="93">
        <f t="shared" si="19"/>
        <v>7916.2</v>
      </c>
    </row>
    <row r="67" spans="1:10" ht="38.25" x14ac:dyDescent="0.2">
      <c r="A67" s="1"/>
      <c r="B67" s="25"/>
      <c r="C67" s="16" t="s">
        <v>88</v>
      </c>
      <c r="D67" s="16" t="s">
        <v>9</v>
      </c>
      <c r="E67" s="21" t="s">
        <v>242</v>
      </c>
      <c r="F67" s="16"/>
      <c r="G67" s="99" t="s">
        <v>243</v>
      </c>
      <c r="H67" s="39">
        <f t="shared" ref="H67:J68" si="20">H68</f>
        <v>250</v>
      </c>
      <c r="I67" s="39">
        <f t="shared" si="20"/>
        <v>250</v>
      </c>
      <c r="J67" s="39">
        <f t="shared" si="20"/>
        <v>250</v>
      </c>
    </row>
    <row r="68" spans="1:10" ht="38.25" x14ac:dyDescent="0.2">
      <c r="A68" s="1"/>
      <c r="B68" s="25"/>
      <c r="C68" s="16" t="s">
        <v>88</v>
      </c>
      <c r="D68" s="16" t="s">
        <v>9</v>
      </c>
      <c r="E68" s="82" t="s">
        <v>457</v>
      </c>
      <c r="F68" s="16"/>
      <c r="G68" s="97" t="s">
        <v>158</v>
      </c>
      <c r="H68" s="41">
        <f t="shared" si="20"/>
        <v>250</v>
      </c>
      <c r="I68" s="41">
        <f t="shared" si="20"/>
        <v>250</v>
      </c>
      <c r="J68" s="41">
        <f t="shared" si="20"/>
        <v>250</v>
      </c>
    </row>
    <row r="69" spans="1:10" ht="38.25" x14ac:dyDescent="0.2">
      <c r="A69" s="1"/>
      <c r="B69" s="25"/>
      <c r="C69" s="16" t="s">
        <v>88</v>
      </c>
      <c r="D69" s="16" t="s">
        <v>9</v>
      </c>
      <c r="E69" s="82" t="s">
        <v>457</v>
      </c>
      <c r="F69" s="82" t="s">
        <v>211</v>
      </c>
      <c r="G69" s="98" t="s">
        <v>212</v>
      </c>
      <c r="H69" s="41">
        <v>250</v>
      </c>
      <c r="I69" s="41">
        <v>250</v>
      </c>
      <c r="J69" s="41">
        <v>250</v>
      </c>
    </row>
    <row r="70" spans="1:10" ht="63.75" x14ac:dyDescent="0.2">
      <c r="A70" s="1"/>
      <c r="B70" s="25"/>
      <c r="C70" s="16" t="s">
        <v>88</v>
      </c>
      <c r="D70" s="16" t="s">
        <v>9</v>
      </c>
      <c r="E70" s="21" t="s">
        <v>244</v>
      </c>
      <c r="F70" s="82"/>
      <c r="G70" s="99" t="s">
        <v>245</v>
      </c>
      <c r="H70" s="41">
        <f>H71+H73+H75+H78+H80+H82+H84+H86+H88+H90+H92+H94</f>
        <v>165414.79999999999</v>
      </c>
      <c r="I70" s="41">
        <f t="shared" ref="I70:J70" si="21">I71+I73+I75+I78+I80+I82+I84+I86+I88+I90+I92+I94</f>
        <v>49568.299999999996</v>
      </c>
      <c r="J70" s="41">
        <f t="shared" si="21"/>
        <v>7666.2</v>
      </c>
    </row>
    <row r="71" spans="1:10" ht="51" x14ac:dyDescent="0.2">
      <c r="A71" s="1"/>
      <c r="B71" s="25"/>
      <c r="C71" s="16" t="s">
        <v>88</v>
      </c>
      <c r="D71" s="16" t="s">
        <v>9</v>
      </c>
      <c r="E71" s="135" t="s">
        <v>458</v>
      </c>
      <c r="F71" s="16"/>
      <c r="G71" s="97" t="s">
        <v>159</v>
      </c>
      <c r="H71" s="41">
        <f>H72</f>
        <v>100</v>
      </c>
      <c r="I71" s="41">
        <f>I72</f>
        <v>100</v>
      </c>
      <c r="J71" s="41">
        <f>J72</f>
        <v>100</v>
      </c>
    </row>
    <row r="72" spans="1:10" ht="38.25" x14ac:dyDescent="0.2">
      <c r="A72" s="1"/>
      <c r="B72" s="25"/>
      <c r="C72" s="16" t="s">
        <v>88</v>
      </c>
      <c r="D72" s="16" t="s">
        <v>9</v>
      </c>
      <c r="E72" s="135" t="s">
        <v>458</v>
      </c>
      <c r="F72" s="82" t="s">
        <v>211</v>
      </c>
      <c r="G72" s="98" t="s">
        <v>212</v>
      </c>
      <c r="H72" s="41">
        <v>100</v>
      </c>
      <c r="I72" s="41">
        <v>100</v>
      </c>
      <c r="J72" s="41">
        <v>100</v>
      </c>
    </row>
    <row r="73" spans="1:10" ht="76.5" x14ac:dyDescent="0.2">
      <c r="A73" s="1"/>
      <c r="B73" s="25"/>
      <c r="C73" s="16" t="s">
        <v>88</v>
      </c>
      <c r="D73" s="16" t="s">
        <v>9</v>
      </c>
      <c r="E73" s="135" t="s">
        <v>459</v>
      </c>
      <c r="F73" s="16"/>
      <c r="G73" s="97" t="s">
        <v>160</v>
      </c>
      <c r="H73" s="41">
        <f>H74</f>
        <v>173.5</v>
      </c>
      <c r="I73" s="41">
        <f>I74</f>
        <v>100</v>
      </c>
      <c r="J73" s="41">
        <f>J74</f>
        <v>100</v>
      </c>
    </row>
    <row r="74" spans="1:10" ht="38.25" x14ac:dyDescent="0.2">
      <c r="A74" s="1"/>
      <c r="B74" s="25"/>
      <c r="C74" s="16" t="s">
        <v>88</v>
      </c>
      <c r="D74" s="16" t="s">
        <v>9</v>
      </c>
      <c r="E74" s="135" t="s">
        <v>459</v>
      </c>
      <c r="F74" s="82" t="s">
        <v>211</v>
      </c>
      <c r="G74" s="98" t="s">
        <v>212</v>
      </c>
      <c r="H74" s="41">
        <v>173.5</v>
      </c>
      <c r="I74" s="41">
        <v>100</v>
      </c>
      <c r="J74" s="41">
        <v>100</v>
      </c>
    </row>
    <row r="75" spans="1:10" ht="38.25" x14ac:dyDescent="0.2">
      <c r="A75" s="1"/>
      <c r="B75" s="25"/>
      <c r="C75" s="16" t="s">
        <v>88</v>
      </c>
      <c r="D75" s="16" t="s">
        <v>9</v>
      </c>
      <c r="E75" s="74">
        <v>310223174</v>
      </c>
      <c r="F75" s="16"/>
      <c r="G75" s="97" t="s">
        <v>161</v>
      </c>
      <c r="H75" s="41">
        <f>SUM(H76:H77)</f>
        <v>13743.399999999998</v>
      </c>
      <c r="I75" s="41">
        <f t="shared" ref="I75:J75" si="22">SUM(I76:I77)</f>
        <v>7490</v>
      </c>
      <c r="J75" s="41">
        <f t="shared" si="22"/>
        <v>7466.2</v>
      </c>
    </row>
    <row r="76" spans="1:10" ht="38.25" x14ac:dyDescent="0.2">
      <c r="A76" s="1"/>
      <c r="B76" s="25"/>
      <c r="C76" s="16" t="s">
        <v>88</v>
      </c>
      <c r="D76" s="16" t="s">
        <v>9</v>
      </c>
      <c r="E76" s="74">
        <v>310223174</v>
      </c>
      <c r="F76" s="82" t="s">
        <v>211</v>
      </c>
      <c r="G76" s="98" t="s">
        <v>212</v>
      </c>
      <c r="H76" s="41">
        <f>9728.9+4.8+1000+2500-62.6+100-193.8+584.8</f>
        <v>13662.099999999999</v>
      </c>
      <c r="I76" s="41">
        <v>7490</v>
      </c>
      <c r="J76" s="41">
        <v>7466.2</v>
      </c>
    </row>
    <row r="77" spans="1:10" ht="25.5" x14ac:dyDescent="0.2">
      <c r="A77" s="1"/>
      <c r="B77" s="25"/>
      <c r="C77" s="16" t="s">
        <v>88</v>
      </c>
      <c r="D77" s="16" t="s">
        <v>9</v>
      </c>
      <c r="E77" s="74">
        <v>310223174</v>
      </c>
      <c r="F77" s="82" t="s">
        <v>131</v>
      </c>
      <c r="G77" s="98" t="s">
        <v>132</v>
      </c>
      <c r="H77" s="41">
        <f>62.6+18.8-0.1</f>
        <v>81.300000000000011</v>
      </c>
      <c r="I77" s="41">
        <v>0</v>
      </c>
      <c r="J77" s="41">
        <v>0</v>
      </c>
    </row>
    <row r="78" spans="1:10" s="201" customFormat="1" ht="76.5" x14ac:dyDescent="0.2">
      <c r="A78" s="1"/>
      <c r="B78" s="25"/>
      <c r="C78" s="16" t="s">
        <v>88</v>
      </c>
      <c r="D78" s="16" t="s">
        <v>9</v>
      </c>
      <c r="E78" s="74">
        <v>310223176</v>
      </c>
      <c r="F78" s="82"/>
      <c r="G78" s="98" t="s">
        <v>805</v>
      </c>
      <c r="H78" s="41">
        <f>H79</f>
        <v>200</v>
      </c>
      <c r="I78" s="41">
        <f t="shared" ref="I78:J78" si="23">I79</f>
        <v>0</v>
      </c>
      <c r="J78" s="41">
        <f t="shared" si="23"/>
        <v>0</v>
      </c>
    </row>
    <row r="79" spans="1:10" s="201" customFormat="1" x14ac:dyDescent="0.2">
      <c r="A79" s="1"/>
      <c r="B79" s="25"/>
      <c r="C79" s="16" t="s">
        <v>88</v>
      </c>
      <c r="D79" s="16" t="s">
        <v>9</v>
      </c>
      <c r="E79" s="74">
        <v>310223176</v>
      </c>
      <c r="F79" s="82" t="s">
        <v>748</v>
      </c>
      <c r="G79" s="98" t="s">
        <v>749</v>
      </c>
      <c r="H79" s="41">
        <v>200</v>
      </c>
      <c r="I79" s="41">
        <v>0</v>
      </c>
      <c r="J79" s="41">
        <v>0</v>
      </c>
    </row>
    <row r="80" spans="1:10" ht="49.5" customHeight="1" x14ac:dyDescent="0.2">
      <c r="A80" s="1"/>
      <c r="B80" s="25"/>
      <c r="C80" s="16" t="s">
        <v>88</v>
      </c>
      <c r="D80" s="16" t="s">
        <v>9</v>
      </c>
      <c r="E80" s="21" t="s">
        <v>731</v>
      </c>
      <c r="F80" s="35"/>
      <c r="G80" s="97" t="s">
        <v>763</v>
      </c>
      <c r="H80" s="1">
        <f>H81</f>
        <v>6352.2</v>
      </c>
      <c r="I80" s="39">
        <f t="shared" ref="I80:J80" si="24">I81</f>
        <v>12016.9</v>
      </c>
      <c r="J80" s="39">
        <f t="shared" si="24"/>
        <v>0</v>
      </c>
    </row>
    <row r="81" spans="1:10" ht="38.25" x14ac:dyDescent="0.2">
      <c r="A81" s="1"/>
      <c r="B81" s="25"/>
      <c r="C81" s="16" t="s">
        <v>88</v>
      </c>
      <c r="D81" s="16" t="s">
        <v>9</v>
      </c>
      <c r="E81" s="21" t="s">
        <v>731</v>
      </c>
      <c r="F81" s="82" t="s">
        <v>211</v>
      </c>
      <c r="G81" s="98" t="s">
        <v>212</v>
      </c>
      <c r="H81" s="1">
        <f>6352.2</f>
        <v>6352.2</v>
      </c>
      <c r="I81" s="220">
        <v>12016.9</v>
      </c>
      <c r="J81" s="39">
        <v>0</v>
      </c>
    </row>
    <row r="82" spans="1:10" ht="51" x14ac:dyDescent="0.2">
      <c r="A82" s="1"/>
      <c r="B82" s="25"/>
      <c r="C82" s="16" t="s">
        <v>88</v>
      </c>
      <c r="D82" s="16" t="s">
        <v>9</v>
      </c>
      <c r="E82" s="21" t="s">
        <v>730</v>
      </c>
      <c r="F82" s="82"/>
      <c r="G82" s="54" t="s">
        <v>726</v>
      </c>
      <c r="H82" s="41">
        <f>H83</f>
        <v>24876.3</v>
      </c>
      <c r="I82" s="41">
        <f t="shared" ref="I82:J82" si="25">I83</f>
        <v>14031.8</v>
      </c>
      <c r="J82" s="41">
        <f t="shared" si="25"/>
        <v>0</v>
      </c>
    </row>
    <row r="83" spans="1:10" ht="38.25" x14ac:dyDescent="0.2">
      <c r="A83" s="1"/>
      <c r="B83" s="25"/>
      <c r="C83" s="16" t="s">
        <v>88</v>
      </c>
      <c r="D83" s="16" t="s">
        <v>9</v>
      </c>
      <c r="E83" s="21" t="s">
        <v>730</v>
      </c>
      <c r="F83" s="82" t="s">
        <v>211</v>
      </c>
      <c r="G83" s="98" t="s">
        <v>212</v>
      </c>
      <c r="H83" s="41">
        <f>25408.7-532.4</f>
        <v>24876.3</v>
      </c>
      <c r="I83" s="220">
        <v>14031.8</v>
      </c>
      <c r="J83" s="39">
        <v>0</v>
      </c>
    </row>
    <row r="84" spans="1:10" s="202" customFormat="1" ht="63.75" x14ac:dyDescent="0.2">
      <c r="A84" s="1"/>
      <c r="B84" s="25"/>
      <c r="C84" s="16" t="s">
        <v>88</v>
      </c>
      <c r="D84" s="16" t="s">
        <v>9</v>
      </c>
      <c r="E84" s="21" t="s">
        <v>806</v>
      </c>
      <c r="F84" s="35"/>
      <c r="G84" s="97" t="s">
        <v>807</v>
      </c>
      <c r="H84" s="41">
        <f>H85</f>
        <v>0</v>
      </c>
      <c r="I84" s="41">
        <f t="shared" ref="I84:J84" si="26">I85</f>
        <v>4626</v>
      </c>
      <c r="J84" s="41">
        <f t="shared" si="26"/>
        <v>0</v>
      </c>
    </row>
    <row r="85" spans="1:10" s="202" customFormat="1" ht="38.25" x14ac:dyDescent="0.2">
      <c r="A85" s="1"/>
      <c r="B85" s="25"/>
      <c r="C85" s="16" t="s">
        <v>88</v>
      </c>
      <c r="D85" s="16" t="s">
        <v>9</v>
      </c>
      <c r="E85" s="21" t="s">
        <v>806</v>
      </c>
      <c r="F85" s="82" t="s">
        <v>211</v>
      </c>
      <c r="G85" s="98" t="s">
        <v>212</v>
      </c>
      <c r="H85" s="41"/>
      <c r="I85" s="39">
        <v>4626</v>
      </c>
      <c r="J85" s="39"/>
    </row>
    <row r="86" spans="1:10" s="216" customFormat="1" ht="63.75" x14ac:dyDescent="0.2">
      <c r="A86" s="1"/>
      <c r="B86" s="25"/>
      <c r="C86" s="16" t="s">
        <v>88</v>
      </c>
      <c r="D86" s="16" t="s">
        <v>9</v>
      </c>
      <c r="E86" s="21" t="s">
        <v>826</v>
      </c>
      <c r="F86" s="82"/>
      <c r="G86" s="97" t="s">
        <v>807</v>
      </c>
      <c r="H86" s="41">
        <f>H87</f>
        <v>0</v>
      </c>
      <c r="I86" s="41">
        <f t="shared" ref="I86:J86" si="27">I87</f>
        <v>11203.6</v>
      </c>
      <c r="J86" s="41">
        <f t="shared" si="27"/>
        <v>0</v>
      </c>
    </row>
    <row r="87" spans="1:10" s="216" customFormat="1" ht="38.25" x14ac:dyDescent="0.2">
      <c r="A87" s="1"/>
      <c r="B87" s="25"/>
      <c r="C87" s="16" t="s">
        <v>88</v>
      </c>
      <c r="D87" s="16" t="s">
        <v>9</v>
      </c>
      <c r="E87" s="21" t="s">
        <v>826</v>
      </c>
      <c r="F87" s="82" t="s">
        <v>211</v>
      </c>
      <c r="G87" s="98" t="s">
        <v>212</v>
      </c>
      <c r="H87" s="41"/>
      <c r="I87" s="39">
        <v>11203.6</v>
      </c>
      <c r="J87" s="39"/>
    </row>
    <row r="88" spans="1:10" ht="25.5" x14ac:dyDescent="0.2">
      <c r="A88" s="1"/>
      <c r="B88" s="25"/>
      <c r="C88" s="16" t="s">
        <v>88</v>
      </c>
      <c r="D88" s="16" t="s">
        <v>9</v>
      </c>
      <c r="E88" s="57" t="s">
        <v>776</v>
      </c>
      <c r="F88" s="21"/>
      <c r="G88" s="98" t="s">
        <v>775</v>
      </c>
      <c r="H88" s="41">
        <f>H89</f>
        <v>10061.6</v>
      </c>
      <c r="I88" s="41">
        <f t="shared" ref="I88:J88" si="28">I89</f>
        <v>0</v>
      </c>
      <c r="J88" s="41">
        <f t="shared" si="28"/>
        <v>0</v>
      </c>
    </row>
    <row r="89" spans="1:10" ht="38.25" x14ac:dyDescent="0.2">
      <c r="A89" s="1"/>
      <c r="B89" s="25"/>
      <c r="C89" s="16" t="s">
        <v>88</v>
      </c>
      <c r="D89" s="16" t="s">
        <v>9</v>
      </c>
      <c r="E89" s="57" t="s">
        <v>776</v>
      </c>
      <c r="F89" s="82" t="s">
        <v>211</v>
      </c>
      <c r="G89" s="98" t="s">
        <v>212</v>
      </c>
      <c r="H89" s="41">
        <f>1920.7+1188.8+1675.8+5487.8-211.5</f>
        <v>10061.6</v>
      </c>
      <c r="I89" s="39">
        <v>0</v>
      </c>
      <c r="J89" s="39">
        <v>0</v>
      </c>
    </row>
    <row r="90" spans="1:10" ht="38.25" x14ac:dyDescent="0.2">
      <c r="A90" s="1"/>
      <c r="B90" s="25"/>
      <c r="C90" s="16" t="s">
        <v>88</v>
      </c>
      <c r="D90" s="16" t="s">
        <v>9</v>
      </c>
      <c r="E90" s="162" t="s">
        <v>732</v>
      </c>
      <c r="F90" s="21"/>
      <c r="G90" s="98" t="s">
        <v>725</v>
      </c>
      <c r="H90" s="94">
        <f>H91</f>
        <v>101333.4</v>
      </c>
      <c r="I90" s="94">
        <f t="shared" ref="I90:J90" si="29">I91</f>
        <v>0</v>
      </c>
      <c r="J90" s="94">
        <f t="shared" si="29"/>
        <v>0</v>
      </c>
    </row>
    <row r="91" spans="1:10" ht="38.25" x14ac:dyDescent="0.2">
      <c r="A91" s="1"/>
      <c r="B91" s="25"/>
      <c r="C91" s="16" t="s">
        <v>88</v>
      </c>
      <c r="D91" s="16" t="s">
        <v>9</v>
      </c>
      <c r="E91" s="162" t="s">
        <v>732</v>
      </c>
      <c r="F91" s="82" t="s">
        <v>211</v>
      </c>
      <c r="G91" s="98" t="s">
        <v>212</v>
      </c>
      <c r="H91" s="94">
        <v>101333.4</v>
      </c>
      <c r="I91" s="41">
        <v>0</v>
      </c>
      <c r="J91" s="41">
        <v>0</v>
      </c>
    </row>
    <row r="92" spans="1:10" ht="51" x14ac:dyDescent="0.2">
      <c r="A92" s="1"/>
      <c r="B92" s="25"/>
      <c r="C92" s="16" t="s">
        <v>88</v>
      </c>
      <c r="D92" s="16" t="s">
        <v>9</v>
      </c>
      <c r="E92" s="162" t="s">
        <v>733</v>
      </c>
      <c r="F92" s="21"/>
      <c r="G92" s="98" t="s">
        <v>706</v>
      </c>
      <c r="H92" s="94">
        <f>H93</f>
        <v>3172.5</v>
      </c>
      <c r="I92" s="94">
        <f t="shared" ref="I92:J92" si="30">I93</f>
        <v>0</v>
      </c>
      <c r="J92" s="94">
        <f t="shared" si="30"/>
        <v>0</v>
      </c>
    </row>
    <row r="93" spans="1:10" ht="38.25" x14ac:dyDescent="0.2">
      <c r="A93" s="1"/>
      <c r="B93" s="25"/>
      <c r="C93" s="16" t="s">
        <v>88</v>
      </c>
      <c r="D93" s="16" t="s">
        <v>9</v>
      </c>
      <c r="E93" s="162" t="s">
        <v>733</v>
      </c>
      <c r="F93" s="82" t="s">
        <v>211</v>
      </c>
      <c r="G93" s="98" t="s">
        <v>212</v>
      </c>
      <c r="H93" s="94">
        <v>3172.5</v>
      </c>
      <c r="I93" s="41">
        <v>0</v>
      </c>
      <c r="J93" s="41">
        <v>0</v>
      </c>
    </row>
    <row r="94" spans="1:10" ht="51" x14ac:dyDescent="0.2">
      <c r="A94" s="1"/>
      <c r="B94" s="25"/>
      <c r="C94" s="16" t="s">
        <v>88</v>
      </c>
      <c r="D94" s="16" t="s">
        <v>9</v>
      </c>
      <c r="E94" s="162" t="s">
        <v>734</v>
      </c>
      <c r="F94" s="82"/>
      <c r="G94" s="98" t="s">
        <v>727</v>
      </c>
      <c r="H94" s="41">
        <f>H95</f>
        <v>5401.9</v>
      </c>
      <c r="I94" s="94">
        <f t="shared" ref="I94:J94" si="31">I95</f>
        <v>0</v>
      </c>
      <c r="J94" s="94">
        <f t="shared" si="31"/>
        <v>0</v>
      </c>
    </row>
    <row r="95" spans="1:10" ht="38.25" x14ac:dyDescent="0.2">
      <c r="A95" s="1"/>
      <c r="B95" s="25"/>
      <c r="C95" s="16" t="s">
        <v>88</v>
      </c>
      <c r="D95" s="16" t="s">
        <v>9</v>
      </c>
      <c r="E95" s="162" t="s">
        <v>734</v>
      </c>
      <c r="F95" s="82" t="s">
        <v>211</v>
      </c>
      <c r="G95" s="98" t="s">
        <v>212</v>
      </c>
      <c r="H95" s="41">
        <f>352.5+5049.4</f>
        <v>5401.9</v>
      </c>
      <c r="I95" s="41">
        <v>0</v>
      </c>
      <c r="J95" s="41">
        <v>0</v>
      </c>
    </row>
    <row r="96" spans="1:10" ht="25.5" x14ac:dyDescent="0.2">
      <c r="A96" s="1"/>
      <c r="B96" s="25"/>
      <c r="C96" s="5" t="s">
        <v>88</v>
      </c>
      <c r="D96" s="5" t="s">
        <v>9</v>
      </c>
      <c r="E96" s="83">
        <v>9900000000</v>
      </c>
      <c r="F96" s="5"/>
      <c r="G96" s="84" t="s">
        <v>144</v>
      </c>
      <c r="H96" s="96">
        <f>H97+H101+H107</f>
        <v>53333.100000000006</v>
      </c>
      <c r="I96" s="96">
        <f t="shared" ref="I96:J96" si="32">I97+I101+I107</f>
        <v>41005.9</v>
      </c>
      <c r="J96" s="96">
        <f t="shared" si="32"/>
        <v>41008.000000000007</v>
      </c>
    </row>
    <row r="97" spans="1:10" ht="25.5" x14ac:dyDescent="0.2">
      <c r="A97" s="1"/>
      <c r="B97" s="25"/>
      <c r="C97" s="16" t="s">
        <v>88</v>
      </c>
      <c r="D97" s="16" t="s">
        <v>9</v>
      </c>
      <c r="E97" s="79">
        <v>9930000000</v>
      </c>
      <c r="F97" s="16"/>
      <c r="G97" s="22" t="s">
        <v>40</v>
      </c>
      <c r="H97" s="39">
        <f>H98</f>
        <v>271.10000000000002</v>
      </c>
      <c r="I97" s="39">
        <f>I98</f>
        <v>273.2</v>
      </c>
      <c r="J97" s="39">
        <f t="shared" ref="J97" si="33">J98</f>
        <v>275.3</v>
      </c>
    </row>
    <row r="98" spans="1:10" ht="38.25" x14ac:dyDescent="0.2">
      <c r="A98" s="1"/>
      <c r="B98" s="25"/>
      <c r="C98" s="16" t="s">
        <v>88</v>
      </c>
      <c r="D98" s="16" t="s">
        <v>9</v>
      </c>
      <c r="E98" s="79">
        <v>9930010540</v>
      </c>
      <c r="F98" s="16"/>
      <c r="G98" s="22" t="s">
        <v>16</v>
      </c>
      <c r="H98" s="39">
        <f>H99+H100</f>
        <v>271.10000000000002</v>
      </c>
      <c r="I98" s="39">
        <f>I99+I100</f>
        <v>273.2</v>
      </c>
      <c r="J98" s="39">
        <f t="shared" ref="J98" si="34">J99+J100</f>
        <v>275.3</v>
      </c>
    </row>
    <row r="99" spans="1:10" ht="38.25" x14ac:dyDescent="0.2">
      <c r="A99" s="1"/>
      <c r="B99" s="25"/>
      <c r="C99" s="16" t="s">
        <v>88</v>
      </c>
      <c r="D99" s="16" t="s">
        <v>9</v>
      </c>
      <c r="E99" s="79">
        <v>9930010540</v>
      </c>
      <c r="F99" s="16" t="s">
        <v>62</v>
      </c>
      <c r="G99" s="102" t="s">
        <v>63</v>
      </c>
      <c r="H99" s="39">
        <v>254.9</v>
      </c>
      <c r="I99" s="39">
        <v>254.9</v>
      </c>
      <c r="J99" s="39">
        <v>254.9</v>
      </c>
    </row>
    <row r="100" spans="1:10" ht="38.25" x14ac:dyDescent="0.2">
      <c r="A100" s="1"/>
      <c r="B100" s="25"/>
      <c r="C100" s="16" t="s">
        <v>88</v>
      </c>
      <c r="D100" s="16" t="s">
        <v>9</v>
      </c>
      <c r="E100" s="79">
        <v>9930010540</v>
      </c>
      <c r="F100" s="82" t="s">
        <v>211</v>
      </c>
      <c r="G100" s="98" t="s">
        <v>212</v>
      </c>
      <c r="H100" s="39">
        <v>16.2</v>
      </c>
      <c r="I100" s="39">
        <v>18.3</v>
      </c>
      <c r="J100" s="39">
        <v>20.399999999999999</v>
      </c>
    </row>
    <row r="101" spans="1:10" ht="38.25" x14ac:dyDescent="0.2">
      <c r="A101" s="1"/>
      <c r="B101" s="25"/>
      <c r="C101" s="16" t="s">
        <v>88</v>
      </c>
      <c r="D101" s="16" t="s">
        <v>9</v>
      </c>
      <c r="E101" s="16" t="s">
        <v>24</v>
      </c>
      <c r="F101" s="16"/>
      <c r="G101" s="99" t="s">
        <v>38</v>
      </c>
      <c r="H101" s="39">
        <f>H102</f>
        <v>7027.4</v>
      </c>
      <c r="I101" s="39">
        <f t="shared" ref="I101:J101" si="35">I102</f>
        <v>1417</v>
      </c>
      <c r="J101" s="39">
        <f t="shared" si="35"/>
        <v>1417</v>
      </c>
    </row>
    <row r="102" spans="1:10" ht="25.5" x14ac:dyDescent="0.2">
      <c r="A102" s="1"/>
      <c r="B102" s="25"/>
      <c r="C102" s="16" t="s">
        <v>88</v>
      </c>
      <c r="D102" s="16" t="s">
        <v>9</v>
      </c>
      <c r="E102" s="82" t="s">
        <v>534</v>
      </c>
      <c r="F102" s="16"/>
      <c r="G102" s="99" t="s">
        <v>39</v>
      </c>
      <c r="H102" s="39">
        <f>SUM(H103:H106)</f>
        <v>7027.4</v>
      </c>
      <c r="I102" s="39">
        <f>SUM(I103:I106)</f>
        <v>1417</v>
      </c>
      <c r="J102" s="39">
        <f>SUM(J103:J106)</f>
        <v>1417</v>
      </c>
    </row>
    <row r="103" spans="1:10" ht="38.25" x14ac:dyDescent="0.2">
      <c r="A103" s="1"/>
      <c r="B103" s="25"/>
      <c r="C103" s="16" t="s">
        <v>88</v>
      </c>
      <c r="D103" s="16" t="s">
        <v>9</v>
      </c>
      <c r="E103" s="82" t="s">
        <v>534</v>
      </c>
      <c r="F103" s="82" t="s">
        <v>211</v>
      </c>
      <c r="G103" s="98" t="s">
        <v>212</v>
      </c>
      <c r="H103" s="39">
        <v>286.2</v>
      </c>
      <c r="I103" s="39">
        <v>287</v>
      </c>
      <c r="J103" s="39">
        <v>287</v>
      </c>
    </row>
    <row r="104" spans="1:10" x14ac:dyDescent="0.2">
      <c r="A104" s="1"/>
      <c r="B104" s="25"/>
      <c r="C104" s="16" t="s">
        <v>88</v>
      </c>
      <c r="D104" s="16" t="s">
        <v>9</v>
      </c>
      <c r="E104" s="82" t="s">
        <v>534</v>
      </c>
      <c r="F104" s="16" t="s">
        <v>81</v>
      </c>
      <c r="G104" s="98" t="s">
        <v>82</v>
      </c>
      <c r="H104" s="39">
        <v>528</v>
      </c>
      <c r="I104" s="39">
        <v>528</v>
      </c>
      <c r="J104" s="39">
        <v>528</v>
      </c>
    </row>
    <row r="105" spans="1:10" s="199" customFormat="1" x14ac:dyDescent="0.2">
      <c r="A105" s="1"/>
      <c r="B105" s="25"/>
      <c r="C105" s="16" t="s">
        <v>88</v>
      </c>
      <c r="D105" s="16" t="s">
        <v>9</v>
      </c>
      <c r="E105" s="82" t="s">
        <v>534</v>
      </c>
      <c r="F105" s="82" t="s">
        <v>748</v>
      </c>
      <c r="G105" s="173" t="s">
        <v>749</v>
      </c>
      <c r="H105" s="39">
        <v>15</v>
      </c>
      <c r="I105" s="39">
        <v>0</v>
      </c>
      <c r="J105" s="39">
        <v>0</v>
      </c>
    </row>
    <row r="106" spans="1:10" ht="25.5" x14ac:dyDescent="0.2">
      <c r="A106" s="1"/>
      <c r="B106" s="25"/>
      <c r="C106" s="16" t="s">
        <v>88</v>
      </c>
      <c r="D106" s="16" t="s">
        <v>9</v>
      </c>
      <c r="E106" s="82" t="s">
        <v>534</v>
      </c>
      <c r="F106" s="82" t="s">
        <v>131</v>
      </c>
      <c r="G106" s="98" t="s">
        <v>132</v>
      </c>
      <c r="H106" s="39">
        <f>602+4630+40+960-18.8-15</f>
        <v>6198.2</v>
      </c>
      <c r="I106" s="39">
        <v>602</v>
      </c>
      <c r="J106" s="39">
        <v>602</v>
      </c>
    </row>
    <row r="107" spans="1:10" ht="25.5" x14ac:dyDescent="0.2">
      <c r="A107" s="1"/>
      <c r="B107" s="25"/>
      <c r="C107" s="16" t="s">
        <v>88</v>
      </c>
      <c r="D107" s="16" t="s">
        <v>9</v>
      </c>
      <c r="E107" s="82" t="s">
        <v>194</v>
      </c>
      <c r="F107" s="16"/>
      <c r="G107" s="99" t="s">
        <v>195</v>
      </c>
      <c r="H107" s="39">
        <f>H108+H111</f>
        <v>46034.600000000006</v>
      </c>
      <c r="I107" s="39">
        <f>I108+I111</f>
        <v>39315.700000000004</v>
      </c>
      <c r="J107" s="39">
        <f>J108+J111</f>
        <v>39315.700000000004</v>
      </c>
    </row>
    <row r="108" spans="1:10" ht="38.25" x14ac:dyDescent="0.2">
      <c r="A108" s="1"/>
      <c r="B108" s="25"/>
      <c r="C108" s="16" t="s">
        <v>88</v>
      </c>
      <c r="D108" s="16" t="s">
        <v>9</v>
      </c>
      <c r="E108" s="21" t="s">
        <v>536</v>
      </c>
      <c r="F108" s="47"/>
      <c r="G108" s="54" t="s">
        <v>284</v>
      </c>
      <c r="H108" s="41">
        <f>SUM(H109:H110)</f>
        <v>11238.800000000001</v>
      </c>
      <c r="I108" s="41">
        <f>SUM(I109:I110)</f>
        <v>10807.1</v>
      </c>
      <c r="J108" s="41">
        <f>SUM(J109:J110)</f>
        <v>10807.1</v>
      </c>
    </row>
    <row r="109" spans="1:10" ht="25.5" x14ac:dyDescent="0.2">
      <c r="A109" s="1"/>
      <c r="B109" s="25"/>
      <c r="C109" s="16" t="s">
        <v>88</v>
      </c>
      <c r="D109" s="16" t="s">
        <v>9</v>
      </c>
      <c r="E109" s="21" t="s">
        <v>536</v>
      </c>
      <c r="F109" s="16" t="s">
        <v>64</v>
      </c>
      <c r="G109" s="102" t="s">
        <v>130</v>
      </c>
      <c r="H109" s="41">
        <f>10020.7+431.7</f>
        <v>10452.400000000001</v>
      </c>
      <c r="I109" s="41">
        <v>10020.700000000001</v>
      </c>
      <c r="J109" s="41">
        <v>10020.700000000001</v>
      </c>
    </row>
    <row r="110" spans="1:10" ht="38.25" x14ac:dyDescent="0.2">
      <c r="A110" s="1"/>
      <c r="B110" s="25"/>
      <c r="C110" s="16" t="s">
        <v>88</v>
      </c>
      <c r="D110" s="16" t="s">
        <v>9</v>
      </c>
      <c r="E110" s="21" t="s">
        <v>536</v>
      </c>
      <c r="F110" s="82" t="s">
        <v>211</v>
      </c>
      <c r="G110" s="98" t="s">
        <v>212</v>
      </c>
      <c r="H110" s="41">
        <v>786.4</v>
      </c>
      <c r="I110" s="41">
        <v>786.4</v>
      </c>
      <c r="J110" s="41">
        <v>786.4</v>
      </c>
    </row>
    <row r="111" spans="1:10" ht="55.5" customHeight="1" x14ac:dyDescent="0.2">
      <c r="A111" s="1"/>
      <c r="B111" s="25"/>
      <c r="C111" s="16" t="s">
        <v>88</v>
      </c>
      <c r="D111" s="16" t="s">
        <v>9</v>
      </c>
      <c r="E111" s="21" t="s">
        <v>538</v>
      </c>
      <c r="F111" s="47"/>
      <c r="G111" s="54" t="s">
        <v>537</v>
      </c>
      <c r="H111" s="41">
        <f>SUM(H112:H115)</f>
        <v>34795.800000000003</v>
      </c>
      <c r="I111" s="41">
        <f>SUM(I112:I115)</f>
        <v>28508.600000000002</v>
      </c>
      <c r="J111" s="41">
        <f>SUM(J112:J115)</f>
        <v>28508.600000000002</v>
      </c>
    </row>
    <row r="112" spans="1:10" ht="25.5" x14ac:dyDescent="0.2">
      <c r="A112" s="1"/>
      <c r="B112" s="25"/>
      <c r="C112" s="16" t="s">
        <v>88</v>
      </c>
      <c r="D112" s="16" t="s">
        <v>9</v>
      </c>
      <c r="E112" s="21" t="s">
        <v>538</v>
      </c>
      <c r="F112" s="16" t="s">
        <v>64</v>
      </c>
      <c r="G112" s="102" t="s">
        <v>130</v>
      </c>
      <c r="H112" s="41">
        <f>11105.9+224.2-17.6-16.9</f>
        <v>11295.6</v>
      </c>
      <c r="I112" s="41">
        <v>11105.9</v>
      </c>
      <c r="J112" s="41">
        <v>11105.9</v>
      </c>
    </row>
    <row r="113" spans="1:10" ht="38.25" x14ac:dyDescent="0.2">
      <c r="A113" s="1"/>
      <c r="B113" s="25"/>
      <c r="C113" s="16" t="s">
        <v>88</v>
      </c>
      <c r="D113" s="16" t="s">
        <v>9</v>
      </c>
      <c r="E113" s="21" t="s">
        <v>538</v>
      </c>
      <c r="F113" s="82" t="s">
        <v>211</v>
      </c>
      <c r="G113" s="98" t="s">
        <v>212</v>
      </c>
      <c r="H113" s="41">
        <f>17241.4+6103.5</f>
        <v>23344.9</v>
      </c>
      <c r="I113" s="41">
        <v>17281.900000000001</v>
      </c>
      <c r="J113" s="41">
        <v>17281.900000000001</v>
      </c>
    </row>
    <row r="114" spans="1:10" ht="38.25" x14ac:dyDescent="0.2">
      <c r="A114" s="1"/>
      <c r="B114" s="25"/>
      <c r="C114" s="16" t="s">
        <v>88</v>
      </c>
      <c r="D114" s="16" t="s">
        <v>9</v>
      </c>
      <c r="E114" s="21" t="s">
        <v>538</v>
      </c>
      <c r="F114" s="82" t="s">
        <v>260</v>
      </c>
      <c r="G114" s="98" t="s">
        <v>249</v>
      </c>
      <c r="H114" s="41">
        <f>17.6+16.9</f>
        <v>34.5</v>
      </c>
      <c r="I114" s="41">
        <v>0</v>
      </c>
      <c r="J114" s="41">
        <v>0</v>
      </c>
    </row>
    <row r="115" spans="1:10" ht="25.5" x14ac:dyDescent="0.2">
      <c r="A115" s="1"/>
      <c r="B115" s="25"/>
      <c r="C115" s="16" t="s">
        <v>88</v>
      </c>
      <c r="D115" s="16" t="s">
        <v>9</v>
      </c>
      <c r="E115" s="21" t="s">
        <v>538</v>
      </c>
      <c r="F115" s="82" t="s">
        <v>131</v>
      </c>
      <c r="G115" s="98" t="s">
        <v>132</v>
      </c>
      <c r="H115" s="41">
        <v>120.8</v>
      </c>
      <c r="I115" s="41">
        <v>120.8</v>
      </c>
      <c r="J115" s="41">
        <v>120.8</v>
      </c>
    </row>
    <row r="116" spans="1:10" ht="45" x14ac:dyDescent="0.25">
      <c r="A116" s="3"/>
      <c r="B116" s="91"/>
      <c r="C116" s="4" t="s">
        <v>93</v>
      </c>
      <c r="D116" s="3"/>
      <c r="E116" s="3"/>
      <c r="F116" s="3"/>
      <c r="G116" s="49" t="s">
        <v>98</v>
      </c>
      <c r="H116" s="92">
        <f>H117+H122+H152</f>
        <v>11302.2</v>
      </c>
      <c r="I116" s="92">
        <f>I117+I122+I152</f>
        <v>9716</v>
      </c>
      <c r="J116" s="92">
        <f>J117+J122+J152</f>
        <v>9686.6</v>
      </c>
    </row>
    <row r="117" spans="1:10" ht="15.75" x14ac:dyDescent="0.25">
      <c r="A117" s="3"/>
      <c r="B117" s="91"/>
      <c r="C117" s="28" t="s">
        <v>93</v>
      </c>
      <c r="D117" s="28" t="s">
        <v>94</v>
      </c>
      <c r="E117" s="28"/>
      <c r="F117" s="34"/>
      <c r="G117" s="46" t="s">
        <v>18</v>
      </c>
      <c r="H117" s="40">
        <f t="shared" ref="H117" si="36">H120</f>
        <v>1414.2</v>
      </c>
      <c r="I117" s="40">
        <f t="shared" ref="I117" si="37">I120</f>
        <v>1414.2</v>
      </c>
      <c r="J117" s="40">
        <f t="shared" ref="J117" si="38">J120</f>
        <v>1414.2</v>
      </c>
    </row>
    <row r="118" spans="1:10" ht="25.5" x14ac:dyDescent="0.25">
      <c r="A118" s="3"/>
      <c r="B118" s="91"/>
      <c r="C118" s="16" t="s">
        <v>93</v>
      </c>
      <c r="D118" s="16" t="s">
        <v>94</v>
      </c>
      <c r="E118" s="79">
        <v>9900000000</v>
      </c>
      <c r="F118" s="34"/>
      <c r="G118" s="55" t="s">
        <v>144</v>
      </c>
      <c r="H118" s="41">
        <f t="shared" ref="H118:J119" si="39">H119</f>
        <v>1414.2</v>
      </c>
      <c r="I118" s="41">
        <f t="shared" si="39"/>
        <v>1414.2</v>
      </c>
      <c r="J118" s="41">
        <f t="shared" si="39"/>
        <v>1414.2</v>
      </c>
    </row>
    <row r="119" spans="1:10" ht="26.25" x14ac:dyDescent="0.25">
      <c r="A119" s="3"/>
      <c r="B119" s="91"/>
      <c r="C119" s="16" t="s">
        <v>93</v>
      </c>
      <c r="D119" s="16" t="s">
        <v>94</v>
      </c>
      <c r="E119" s="79">
        <v>9930000000</v>
      </c>
      <c r="F119" s="16"/>
      <c r="G119" s="22" t="s">
        <v>40</v>
      </c>
      <c r="H119" s="41">
        <f t="shared" si="39"/>
        <v>1414.2</v>
      </c>
      <c r="I119" s="41">
        <f t="shared" si="39"/>
        <v>1414.2</v>
      </c>
      <c r="J119" s="41">
        <f t="shared" si="39"/>
        <v>1414.2</v>
      </c>
    </row>
    <row r="120" spans="1:10" ht="51.75" x14ac:dyDescent="0.25">
      <c r="A120" s="3"/>
      <c r="B120" s="91"/>
      <c r="C120" s="16" t="s">
        <v>93</v>
      </c>
      <c r="D120" s="16" t="s">
        <v>94</v>
      </c>
      <c r="E120" s="79">
        <v>9930059302</v>
      </c>
      <c r="F120" s="16"/>
      <c r="G120" s="99" t="s">
        <v>364</v>
      </c>
      <c r="H120" s="39">
        <f>SUM(H121:H121)</f>
        <v>1414.2</v>
      </c>
      <c r="I120" s="39">
        <f>SUM(I121:I121)</f>
        <v>1414.2</v>
      </c>
      <c r="J120" s="39">
        <f>SUM(J121:J121)</f>
        <v>1414.2</v>
      </c>
    </row>
    <row r="121" spans="1:10" ht="38.25" x14ac:dyDescent="0.25">
      <c r="A121" s="3"/>
      <c r="B121" s="91"/>
      <c r="C121" s="16" t="s">
        <v>93</v>
      </c>
      <c r="D121" s="16" t="s">
        <v>94</v>
      </c>
      <c r="E121" s="79">
        <v>9930059302</v>
      </c>
      <c r="F121" s="16" t="s">
        <v>62</v>
      </c>
      <c r="G121" s="55" t="s">
        <v>63</v>
      </c>
      <c r="H121" s="39">
        <v>1414.2</v>
      </c>
      <c r="I121" s="39">
        <v>1414.2</v>
      </c>
      <c r="J121" s="39">
        <v>1414.2</v>
      </c>
    </row>
    <row r="122" spans="1:10" ht="51.75" x14ac:dyDescent="0.25">
      <c r="A122" s="3"/>
      <c r="B122" s="91"/>
      <c r="C122" s="28" t="s">
        <v>93</v>
      </c>
      <c r="D122" s="28" t="s">
        <v>110</v>
      </c>
      <c r="E122" s="28"/>
      <c r="F122" s="34"/>
      <c r="G122" s="46" t="s">
        <v>126</v>
      </c>
      <c r="H122" s="40">
        <f>H123+H147</f>
        <v>9888</v>
      </c>
      <c r="I122" s="40">
        <f>I123+I147</f>
        <v>8272.4</v>
      </c>
      <c r="J122" s="40">
        <f>J123+J147</f>
        <v>8272.4</v>
      </c>
    </row>
    <row r="123" spans="1:10" ht="90" x14ac:dyDescent="0.25">
      <c r="A123" s="3"/>
      <c r="B123" s="91"/>
      <c r="C123" s="21" t="s">
        <v>93</v>
      </c>
      <c r="D123" s="21" t="s">
        <v>110</v>
      </c>
      <c r="E123" s="73" t="s">
        <v>50</v>
      </c>
      <c r="F123" s="16"/>
      <c r="G123" s="64" t="s">
        <v>583</v>
      </c>
      <c r="H123" s="59">
        <f>H124+H130+H135+H141</f>
        <v>2878</v>
      </c>
      <c r="I123" s="59">
        <f t="shared" ref="I123:J123" si="40">I124+I130+I135+I141</f>
        <v>1500</v>
      </c>
      <c r="J123" s="59">
        <f t="shared" si="40"/>
        <v>1500</v>
      </c>
    </row>
    <row r="124" spans="1:10" ht="54.75" customHeight="1" x14ac:dyDescent="0.25">
      <c r="A124" s="3"/>
      <c r="B124" s="91"/>
      <c r="C124" s="21" t="s">
        <v>93</v>
      </c>
      <c r="D124" s="21" t="s">
        <v>110</v>
      </c>
      <c r="E124" s="52" t="s">
        <v>51</v>
      </c>
      <c r="F124" s="16"/>
      <c r="G124" s="48" t="s">
        <v>203</v>
      </c>
      <c r="H124" s="93">
        <f>H126+H128</f>
        <v>143.5</v>
      </c>
      <c r="I124" s="93">
        <f t="shared" ref="I124:J124" si="41">I126+I128</f>
        <v>80</v>
      </c>
      <c r="J124" s="93">
        <f t="shared" si="41"/>
        <v>80</v>
      </c>
    </row>
    <row r="125" spans="1:10" ht="64.5" x14ac:dyDescent="0.25">
      <c r="A125" s="3"/>
      <c r="B125" s="91"/>
      <c r="C125" s="21" t="s">
        <v>93</v>
      </c>
      <c r="D125" s="21" t="s">
        <v>110</v>
      </c>
      <c r="E125" s="21" t="s">
        <v>218</v>
      </c>
      <c r="F125" s="16"/>
      <c r="G125" s="99" t="s">
        <v>292</v>
      </c>
      <c r="H125" s="39">
        <f>H126+H128</f>
        <v>143.5</v>
      </c>
      <c r="I125" s="39">
        <f t="shared" ref="I125:J125" si="42">I126+I128</f>
        <v>80</v>
      </c>
      <c r="J125" s="39">
        <f t="shared" si="42"/>
        <v>80</v>
      </c>
    </row>
    <row r="126" spans="1:10" ht="39" x14ac:dyDescent="0.25">
      <c r="A126" s="3"/>
      <c r="B126" s="91"/>
      <c r="C126" s="21" t="s">
        <v>93</v>
      </c>
      <c r="D126" s="21" t="s">
        <v>110</v>
      </c>
      <c r="E126" s="74">
        <v>1110123305</v>
      </c>
      <c r="F126" s="16"/>
      <c r="G126" s="99" t="s">
        <v>217</v>
      </c>
      <c r="H126" s="39">
        <f>H127</f>
        <v>100.1</v>
      </c>
      <c r="I126" s="39">
        <f t="shared" ref="I126:J126" si="43">I127</f>
        <v>40</v>
      </c>
      <c r="J126" s="39">
        <f t="shared" si="43"/>
        <v>40</v>
      </c>
    </row>
    <row r="127" spans="1:10" ht="38.25" x14ac:dyDescent="0.25">
      <c r="A127" s="3"/>
      <c r="B127" s="91"/>
      <c r="C127" s="21" t="s">
        <v>93</v>
      </c>
      <c r="D127" s="21" t="s">
        <v>110</v>
      </c>
      <c r="E127" s="74">
        <v>1110123305</v>
      </c>
      <c r="F127" s="82" t="s">
        <v>211</v>
      </c>
      <c r="G127" s="98" t="s">
        <v>212</v>
      </c>
      <c r="H127" s="39">
        <f>40+63.5-3.4</f>
        <v>100.1</v>
      </c>
      <c r="I127" s="39">
        <v>40</v>
      </c>
      <c r="J127" s="39">
        <v>40</v>
      </c>
    </row>
    <row r="128" spans="1:10" ht="51.75" x14ac:dyDescent="0.25">
      <c r="A128" s="3"/>
      <c r="B128" s="91"/>
      <c r="C128" s="21" t="s">
        <v>93</v>
      </c>
      <c r="D128" s="21" t="s">
        <v>110</v>
      </c>
      <c r="E128" s="74">
        <v>1110123310</v>
      </c>
      <c r="F128" s="16"/>
      <c r="G128" s="99" t="s">
        <v>205</v>
      </c>
      <c r="H128" s="41">
        <f>H129</f>
        <v>43.4</v>
      </c>
      <c r="I128" s="41">
        <f>I129</f>
        <v>40</v>
      </c>
      <c r="J128" s="41">
        <f>J129</f>
        <v>40</v>
      </c>
    </row>
    <row r="129" spans="1:10" ht="38.25" x14ac:dyDescent="0.25">
      <c r="A129" s="3"/>
      <c r="B129" s="91"/>
      <c r="C129" s="21" t="s">
        <v>93</v>
      </c>
      <c r="D129" s="21" t="s">
        <v>110</v>
      </c>
      <c r="E129" s="74">
        <v>1110123310</v>
      </c>
      <c r="F129" s="82" t="s">
        <v>211</v>
      </c>
      <c r="G129" s="98" t="s">
        <v>212</v>
      </c>
      <c r="H129" s="39">
        <f>40+3.4</f>
        <v>43.4</v>
      </c>
      <c r="I129" s="39">
        <v>40</v>
      </c>
      <c r="J129" s="39">
        <v>40</v>
      </c>
    </row>
    <row r="130" spans="1:10" ht="39" x14ac:dyDescent="0.25">
      <c r="A130" s="3"/>
      <c r="B130" s="91"/>
      <c r="C130" s="21" t="s">
        <v>93</v>
      </c>
      <c r="D130" s="21" t="s">
        <v>110</v>
      </c>
      <c r="E130" s="52" t="s">
        <v>52</v>
      </c>
      <c r="F130" s="82"/>
      <c r="G130" s="48" t="s">
        <v>199</v>
      </c>
      <c r="H130" s="41">
        <f t="shared" ref="H130:J131" si="44">H131</f>
        <v>2709.5</v>
      </c>
      <c r="I130" s="41">
        <f t="shared" si="44"/>
        <v>1400</v>
      </c>
      <c r="J130" s="41">
        <f t="shared" si="44"/>
        <v>1400</v>
      </c>
    </row>
    <row r="131" spans="1:10" ht="51.75" x14ac:dyDescent="0.25">
      <c r="A131" s="3"/>
      <c r="B131" s="91"/>
      <c r="C131" s="21" t="s">
        <v>93</v>
      </c>
      <c r="D131" s="21" t="s">
        <v>110</v>
      </c>
      <c r="E131" s="21" t="s">
        <v>219</v>
      </c>
      <c r="F131" s="82"/>
      <c r="G131" s="99" t="s">
        <v>303</v>
      </c>
      <c r="H131" s="41">
        <f t="shared" si="44"/>
        <v>2709.5</v>
      </c>
      <c r="I131" s="41">
        <f t="shared" si="44"/>
        <v>1400</v>
      </c>
      <c r="J131" s="41">
        <f t="shared" si="44"/>
        <v>1400</v>
      </c>
    </row>
    <row r="132" spans="1:10" ht="38.25" x14ac:dyDescent="0.25">
      <c r="A132" s="3"/>
      <c r="B132" s="91"/>
      <c r="C132" s="21" t="s">
        <v>93</v>
      </c>
      <c r="D132" s="21" t="s">
        <v>110</v>
      </c>
      <c r="E132" s="74">
        <v>1120123315</v>
      </c>
      <c r="F132" s="16"/>
      <c r="G132" s="98" t="s">
        <v>516</v>
      </c>
      <c r="H132" s="41">
        <f>SUM(H133:H134)</f>
        <v>2709.5</v>
      </c>
      <c r="I132" s="41">
        <f>SUM(I133:I134)</f>
        <v>1400</v>
      </c>
      <c r="J132" s="41">
        <f>SUM(J133:J134)</f>
        <v>1400</v>
      </c>
    </row>
    <row r="133" spans="1:10" ht="25.5" x14ac:dyDescent="0.25">
      <c r="A133" s="3"/>
      <c r="B133" s="91"/>
      <c r="C133" s="21" t="s">
        <v>93</v>
      </c>
      <c r="D133" s="21" t="s">
        <v>110</v>
      </c>
      <c r="E133" s="74">
        <v>1120123315</v>
      </c>
      <c r="F133" s="82" t="s">
        <v>64</v>
      </c>
      <c r="G133" s="55" t="s">
        <v>130</v>
      </c>
      <c r="H133" s="41">
        <v>118</v>
      </c>
      <c r="I133" s="41">
        <v>51.2</v>
      </c>
      <c r="J133" s="41">
        <v>51.2</v>
      </c>
    </row>
    <row r="134" spans="1:10" ht="38.25" x14ac:dyDescent="0.25">
      <c r="A134" s="3"/>
      <c r="B134" s="91"/>
      <c r="C134" s="21" t="s">
        <v>93</v>
      </c>
      <c r="D134" s="21" t="s">
        <v>110</v>
      </c>
      <c r="E134" s="74">
        <v>1120123315</v>
      </c>
      <c r="F134" s="82" t="s">
        <v>211</v>
      </c>
      <c r="G134" s="98" t="s">
        <v>212</v>
      </c>
      <c r="H134" s="41">
        <f>2147.1+444.4</f>
        <v>2591.5</v>
      </c>
      <c r="I134" s="41">
        <v>1348.8</v>
      </c>
      <c r="J134" s="41">
        <v>1348.8</v>
      </c>
    </row>
    <row r="135" spans="1:10" ht="51.75" x14ac:dyDescent="0.25">
      <c r="A135" s="3"/>
      <c r="B135" s="91"/>
      <c r="C135" s="21" t="s">
        <v>93</v>
      </c>
      <c r="D135" s="21" t="s">
        <v>110</v>
      </c>
      <c r="E135" s="52" t="s">
        <v>53</v>
      </c>
      <c r="F135" s="16"/>
      <c r="G135" s="48" t="s">
        <v>250</v>
      </c>
      <c r="H135" s="93">
        <f>H136</f>
        <v>10</v>
      </c>
      <c r="I135" s="93">
        <f>I136</f>
        <v>5</v>
      </c>
      <c r="J135" s="93">
        <f>J136</f>
        <v>5</v>
      </c>
    </row>
    <row r="136" spans="1:10" ht="67.5" customHeight="1" x14ac:dyDescent="0.25">
      <c r="A136" s="3"/>
      <c r="B136" s="91"/>
      <c r="C136" s="21" t="s">
        <v>93</v>
      </c>
      <c r="D136" s="21" t="s">
        <v>110</v>
      </c>
      <c r="E136" s="21" t="s">
        <v>220</v>
      </c>
      <c r="F136" s="16"/>
      <c r="G136" s="99" t="s">
        <v>311</v>
      </c>
      <c r="H136" s="39">
        <f>H137+H139</f>
        <v>10</v>
      </c>
      <c r="I136" s="39">
        <f>I137+I139</f>
        <v>5</v>
      </c>
      <c r="J136" s="39">
        <f>J137+J139</f>
        <v>5</v>
      </c>
    </row>
    <row r="137" spans="1:10" ht="25.5" x14ac:dyDescent="0.25">
      <c r="A137" s="3"/>
      <c r="B137" s="91"/>
      <c r="C137" s="21" t="s">
        <v>93</v>
      </c>
      <c r="D137" s="21" t="s">
        <v>110</v>
      </c>
      <c r="E137" s="74">
        <v>1130123320</v>
      </c>
      <c r="F137" s="16"/>
      <c r="G137" s="98" t="s">
        <v>251</v>
      </c>
      <c r="H137" s="41">
        <f>H138</f>
        <v>7.9</v>
      </c>
      <c r="I137" s="41">
        <f>I138</f>
        <v>4</v>
      </c>
      <c r="J137" s="41">
        <f>J138</f>
        <v>4</v>
      </c>
    </row>
    <row r="138" spans="1:10" ht="38.25" x14ac:dyDescent="0.25">
      <c r="A138" s="3"/>
      <c r="B138" s="91"/>
      <c r="C138" s="21" t="s">
        <v>93</v>
      </c>
      <c r="D138" s="21" t="s">
        <v>110</v>
      </c>
      <c r="E138" s="74">
        <v>1130123320</v>
      </c>
      <c r="F138" s="82" t="s">
        <v>211</v>
      </c>
      <c r="G138" s="98" t="s">
        <v>212</v>
      </c>
      <c r="H138" s="41">
        <f>8-0.1</f>
        <v>7.9</v>
      </c>
      <c r="I138" s="41">
        <v>4</v>
      </c>
      <c r="J138" s="41">
        <v>4</v>
      </c>
    </row>
    <row r="139" spans="1:10" ht="38.25" x14ac:dyDescent="0.25">
      <c r="A139" s="3"/>
      <c r="B139" s="91"/>
      <c r="C139" s="21" t="s">
        <v>93</v>
      </c>
      <c r="D139" s="21" t="s">
        <v>110</v>
      </c>
      <c r="E139" s="74">
        <v>1130123325</v>
      </c>
      <c r="F139" s="16"/>
      <c r="G139" s="98" t="s">
        <v>221</v>
      </c>
      <c r="H139" s="41">
        <f>H140</f>
        <v>2.1</v>
      </c>
      <c r="I139" s="41">
        <f>I140</f>
        <v>1</v>
      </c>
      <c r="J139" s="41">
        <f>J140</f>
        <v>1</v>
      </c>
    </row>
    <row r="140" spans="1:10" ht="38.25" x14ac:dyDescent="0.25">
      <c r="A140" s="3"/>
      <c r="B140" s="91"/>
      <c r="C140" s="21" t="s">
        <v>93</v>
      </c>
      <c r="D140" s="21" t="s">
        <v>110</v>
      </c>
      <c r="E140" s="74">
        <v>1130123325</v>
      </c>
      <c r="F140" s="82" t="s">
        <v>211</v>
      </c>
      <c r="G140" s="98" t="s">
        <v>212</v>
      </c>
      <c r="H140" s="41">
        <f>2+0.1</f>
        <v>2.1</v>
      </c>
      <c r="I140" s="41">
        <v>1</v>
      </c>
      <c r="J140" s="41">
        <v>1</v>
      </c>
    </row>
    <row r="141" spans="1:10" ht="64.5" x14ac:dyDescent="0.25">
      <c r="A141" s="3"/>
      <c r="B141" s="91"/>
      <c r="C141" s="21" t="s">
        <v>93</v>
      </c>
      <c r="D141" s="21" t="s">
        <v>110</v>
      </c>
      <c r="E141" s="52" t="s">
        <v>54</v>
      </c>
      <c r="F141" s="16"/>
      <c r="G141" s="48" t="s">
        <v>204</v>
      </c>
      <c r="H141" s="93">
        <f>H142</f>
        <v>15</v>
      </c>
      <c r="I141" s="93">
        <f t="shared" ref="I141:J141" si="45">I142</f>
        <v>15</v>
      </c>
      <c r="J141" s="93">
        <f t="shared" si="45"/>
        <v>15</v>
      </c>
    </row>
    <row r="142" spans="1:10" ht="51" customHeight="1" x14ac:dyDescent="0.25">
      <c r="A142" s="3"/>
      <c r="B142" s="91"/>
      <c r="C142" s="21" t="s">
        <v>93</v>
      </c>
      <c r="D142" s="21" t="s">
        <v>110</v>
      </c>
      <c r="E142" s="21" t="s">
        <v>291</v>
      </c>
      <c r="F142" s="82"/>
      <c r="G142" s="98" t="s">
        <v>222</v>
      </c>
      <c r="H142" s="41">
        <f>H143+H145</f>
        <v>15</v>
      </c>
      <c r="I142" s="41">
        <f t="shared" ref="I142:J142" si="46">I143+I145</f>
        <v>15</v>
      </c>
      <c r="J142" s="41">
        <f t="shared" si="46"/>
        <v>15</v>
      </c>
    </row>
    <row r="143" spans="1:10" ht="25.5" x14ac:dyDescent="0.25">
      <c r="A143" s="3"/>
      <c r="B143" s="91"/>
      <c r="C143" s="21" t="s">
        <v>93</v>
      </c>
      <c r="D143" s="21" t="s">
        <v>110</v>
      </c>
      <c r="E143" s="74">
        <v>1140123330</v>
      </c>
      <c r="F143" s="16"/>
      <c r="G143" s="98" t="s">
        <v>193</v>
      </c>
      <c r="H143" s="41">
        <f>H144</f>
        <v>12</v>
      </c>
      <c r="I143" s="41">
        <f>I144</f>
        <v>12</v>
      </c>
      <c r="J143" s="41">
        <f>J144</f>
        <v>12</v>
      </c>
    </row>
    <row r="144" spans="1:10" ht="38.25" x14ac:dyDescent="0.25">
      <c r="A144" s="3"/>
      <c r="B144" s="91"/>
      <c r="C144" s="21" t="s">
        <v>93</v>
      </c>
      <c r="D144" s="21" t="s">
        <v>110</v>
      </c>
      <c r="E144" s="74">
        <v>1140123330</v>
      </c>
      <c r="F144" s="82" t="s">
        <v>211</v>
      </c>
      <c r="G144" s="98" t="s">
        <v>212</v>
      </c>
      <c r="H144" s="41">
        <v>12</v>
      </c>
      <c r="I144" s="41">
        <v>12</v>
      </c>
      <c r="J144" s="41">
        <v>12</v>
      </c>
    </row>
    <row r="145" spans="1:10" ht="38.25" x14ac:dyDescent="0.25">
      <c r="A145" s="3"/>
      <c r="B145" s="91"/>
      <c r="C145" s="21" t="s">
        <v>93</v>
      </c>
      <c r="D145" s="21" t="s">
        <v>110</v>
      </c>
      <c r="E145" s="74">
        <v>1140123335</v>
      </c>
      <c r="F145" s="16"/>
      <c r="G145" s="98" t="s">
        <v>223</v>
      </c>
      <c r="H145" s="41">
        <f>H146</f>
        <v>3</v>
      </c>
      <c r="I145" s="41">
        <f>I146</f>
        <v>3</v>
      </c>
      <c r="J145" s="41">
        <f>J146</f>
        <v>3</v>
      </c>
    </row>
    <row r="146" spans="1:10" ht="38.25" x14ac:dyDescent="0.25">
      <c r="A146" s="3"/>
      <c r="B146" s="91"/>
      <c r="C146" s="21" t="s">
        <v>93</v>
      </c>
      <c r="D146" s="21" t="s">
        <v>110</v>
      </c>
      <c r="E146" s="74">
        <v>1140123335</v>
      </c>
      <c r="F146" s="82" t="s">
        <v>211</v>
      </c>
      <c r="G146" s="98" t="s">
        <v>212</v>
      </c>
      <c r="H146" s="41">
        <v>3</v>
      </c>
      <c r="I146" s="41">
        <v>3</v>
      </c>
      <c r="J146" s="41">
        <v>3</v>
      </c>
    </row>
    <row r="147" spans="1:10" ht="25.5" x14ac:dyDescent="0.25">
      <c r="A147" s="3"/>
      <c r="B147" s="91"/>
      <c r="C147" s="81" t="s">
        <v>93</v>
      </c>
      <c r="D147" s="81" t="s">
        <v>110</v>
      </c>
      <c r="E147" s="73" t="s">
        <v>194</v>
      </c>
      <c r="F147" s="33"/>
      <c r="G147" s="84" t="s">
        <v>144</v>
      </c>
      <c r="H147" s="61">
        <f t="shared" ref="H147:J147" si="47">H148</f>
        <v>7010</v>
      </c>
      <c r="I147" s="61">
        <f t="shared" si="47"/>
        <v>6772.4</v>
      </c>
      <c r="J147" s="61">
        <f t="shared" si="47"/>
        <v>6772.4</v>
      </c>
    </row>
    <row r="148" spans="1:10" ht="63.75" x14ac:dyDescent="0.25">
      <c r="A148" s="3"/>
      <c r="B148" s="91"/>
      <c r="C148" s="21" t="s">
        <v>93</v>
      </c>
      <c r="D148" s="21" t="s">
        <v>110</v>
      </c>
      <c r="E148" s="21" t="s">
        <v>535</v>
      </c>
      <c r="F148" s="47"/>
      <c r="G148" s="54" t="s">
        <v>539</v>
      </c>
      <c r="H148" s="41">
        <f>SUM(H149:H151)</f>
        <v>7010</v>
      </c>
      <c r="I148" s="41">
        <f>SUM(I149:I151)</f>
        <v>6772.4</v>
      </c>
      <c r="J148" s="41">
        <f t="shared" ref="J148" si="48">SUM(J149:J151)</f>
        <v>6772.4</v>
      </c>
    </row>
    <row r="149" spans="1:10" ht="25.5" x14ac:dyDescent="0.25">
      <c r="A149" s="3"/>
      <c r="B149" s="91"/>
      <c r="C149" s="21" t="s">
        <v>93</v>
      </c>
      <c r="D149" s="21" t="s">
        <v>110</v>
      </c>
      <c r="E149" s="21" t="s">
        <v>535</v>
      </c>
      <c r="F149" s="16" t="s">
        <v>64</v>
      </c>
      <c r="G149" s="102" t="s">
        <v>130</v>
      </c>
      <c r="H149" s="41">
        <f>6007.4+237.6</f>
        <v>6245</v>
      </c>
      <c r="I149" s="41">
        <v>6007.4</v>
      </c>
      <c r="J149" s="41">
        <v>6007.4</v>
      </c>
    </row>
    <row r="150" spans="1:10" ht="38.25" x14ac:dyDescent="0.25">
      <c r="A150" s="3"/>
      <c r="B150" s="91"/>
      <c r="C150" s="21" t="s">
        <v>93</v>
      </c>
      <c r="D150" s="21" t="s">
        <v>110</v>
      </c>
      <c r="E150" s="21" t="s">
        <v>535</v>
      </c>
      <c r="F150" s="82" t="s">
        <v>211</v>
      </c>
      <c r="G150" s="98" t="s">
        <v>212</v>
      </c>
      <c r="H150" s="41">
        <v>760</v>
      </c>
      <c r="I150" s="41">
        <v>760</v>
      </c>
      <c r="J150" s="41">
        <v>760</v>
      </c>
    </row>
    <row r="151" spans="1:10" ht="25.5" x14ac:dyDescent="0.25">
      <c r="A151" s="3"/>
      <c r="B151" s="91"/>
      <c r="C151" s="21" t="s">
        <v>93</v>
      </c>
      <c r="D151" s="21" t="s">
        <v>110</v>
      </c>
      <c r="E151" s="21" t="s">
        <v>535</v>
      </c>
      <c r="F151" s="82" t="s">
        <v>131</v>
      </c>
      <c r="G151" s="98" t="s">
        <v>132</v>
      </c>
      <c r="H151" s="41">
        <v>5</v>
      </c>
      <c r="I151" s="41">
        <v>5</v>
      </c>
      <c r="J151" s="41">
        <v>5</v>
      </c>
    </row>
    <row r="152" spans="1:10" ht="39" x14ac:dyDescent="0.25">
      <c r="A152" s="3"/>
      <c r="B152" s="91"/>
      <c r="C152" s="28" t="s">
        <v>93</v>
      </c>
      <c r="D152" s="28" t="s">
        <v>121</v>
      </c>
      <c r="E152" s="28"/>
      <c r="F152" s="34"/>
      <c r="G152" s="46" t="s">
        <v>22</v>
      </c>
      <c r="H152" s="40">
        <f>H153</f>
        <v>0</v>
      </c>
      <c r="I152" s="40">
        <f t="shared" ref="I152:J152" si="49">I153</f>
        <v>29.4</v>
      </c>
      <c r="J152" s="40">
        <f t="shared" si="49"/>
        <v>0</v>
      </c>
    </row>
    <row r="153" spans="1:10" ht="90.75" customHeight="1" x14ac:dyDescent="0.25">
      <c r="A153" s="3"/>
      <c r="B153" s="91"/>
      <c r="C153" s="73" t="s">
        <v>93</v>
      </c>
      <c r="D153" s="73" t="s">
        <v>121</v>
      </c>
      <c r="E153" s="73" t="s">
        <v>227</v>
      </c>
      <c r="F153" s="16"/>
      <c r="G153" s="64" t="s">
        <v>588</v>
      </c>
      <c r="H153" s="96">
        <f t="shared" ref="H153:J154" si="50">H154</f>
        <v>0</v>
      </c>
      <c r="I153" s="96">
        <f t="shared" si="50"/>
        <v>29.4</v>
      </c>
      <c r="J153" s="96">
        <f t="shared" si="50"/>
        <v>0</v>
      </c>
    </row>
    <row r="154" spans="1:10" ht="51.75" x14ac:dyDescent="0.25">
      <c r="A154" s="3"/>
      <c r="B154" s="91"/>
      <c r="C154" s="21" t="s">
        <v>93</v>
      </c>
      <c r="D154" s="21" t="s">
        <v>121</v>
      </c>
      <c r="E154" s="52" t="s">
        <v>228</v>
      </c>
      <c r="F154" s="16"/>
      <c r="G154" s="48" t="s">
        <v>229</v>
      </c>
      <c r="H154" s="58">
        <f>H155</f>
        <v>0</v>
      </c>
      <c r="I154" s="58">
        <f t="shared" si="50"/>
        <v>29.4</v>
      </c>
      <c r="J154" s="58">
        <f t="shared" si="50"/>
        <v>0</v>
      </c>
    </row>
    <row r="155" spans="1:10" ht="51.75" x14ac:dyDescent="0.25">
      <c r="A155" s="3"/>
      <c r="B155" s="91"/>
      <c r="C155" s="21" t="s">
        <v>93</v>
      </c>
      <c r="D155" s="21" t="s">
        <v>121</v>
      </c>
      <c r="E155" s="21" t="s">
        <v>230</v>
      </c>
      <c r="F155" s="16"/>
      <c r="G155" s="99" t="s">
        <v>231</v>
      </c>
      <c r="H155" s="94">
        <f>H156+H158</f>
        <v>0</v>
      </c>
      <c r="I155" s="94">
        <f t="shared" ref="I155:J155" si="51">I156+I158</f>
        <v>29.4</v>
      </c>
      <c r="J155" s="94">
        <f t="shared" si="51"/>
        <v>0</v>
      </c>
    </row>
    <row r="156" spans="1:10" ht="38.25" x14ac:dyDescent="0.25">
      <c r="A156" s="3"/>
      <c r="B156" s="91"/>
      <c r="C156" s="21" t="s">
        <v>93</v>
      </c>
      <c r="D156" s="21" t="s">
        <v>121</v>
      </c>
      <c r="E156" s="21" t="s">
        <v>532</v>
      </c>
      <c r="F156" s="16"/>
      <c r="G156" s="98" t="s">
        <v>357</v>
      </c>
      <c r="H156" s="94">
        <f>H157</f>
        <v>0</v>
      </c>
      <c r="I156" s="94">
        <f>I157</f>
        <v>23.4</v>
      </c>
      <c r="J156" s="94">
        <f>J157</f>
        <v>0</v>
      </c>
    </row>
    <row r="157" spans="1:10" ht="38.25" x14ac:dyDescent="0.25">
      <c r="A157" s="3"/>
      <c r="B157" s="91"/>
      <c r="C157" s="21" t="s">
        <v>93</v>
      </c>
      <c r="D157" s="21" t="s">
        <v>121</v>
      </c>
      <c r="E157" s="21" t="s">
        <v>532</v>
      </c>
      <c r="F157" s="82" t="s">
        <v>211</v>
      </c>
      <c r="G157" s="98" t="s">
        <v>212</v>
      </c>
      <c r="H157" s="41">
        <v>0</v>
      </c>
      <c r="I157" s="41">
        <v>23.4</v>
      </c>
      <c r="J157" s="41">
        <v>0</v>
      </c>
    </row>
    <row r="158" spans="1:10" ht="25.5" x14ac:dyDescent="0.25">
      <c r="A158" s="3"/>
      <c r="B158" s="91"/>
      <c r="C158" s="21" t="s">
        <v>93</v>
      </c>
      <c r="D158" s="21" t="s">
        <v>121</v>
      </c>
      <c r="E158" s="21" t="s">
        <v>533</v>
      </c>
      <c r="F158" s="16"/>
      <c r="G158" s="98" t="s">
        <v>358</v>
      </c>
      <c r="H158" s="94">
        <f>H159</f>
        <v>0</v>
      </c>
      <c r="I158" s="94">
        <f>I159</f>
        <v>6</v>
      </c>
      <c r="J158" s="94">
        <f>J159</f>
        <v>0</v>
      </c>
    </row>
    <row r="159" spans="1:10" ht="38.25" x14ac:dyDescent="0.25">
      <c r="A159" s="3"/>
      <c r="B159" s="91"/>
      <c r="C159" s="21" t="s">
        <v>93</v>
      </c>
      <c r="D159" s="21" t="s">
        <v>121</v>
      </c>
      <c r="E159" s="21" t="s">
        <v>533</v>
      </c>
      <c r="F159" s="82" t="s">
        <v>211</v>
      </c>
      <c r="G159" s="98" t="s">
        <v>212</v>
      </c>
      <c r="H159" s="41">
        <v>0</v>
      </c>
      <c r="I159" s="41">
        <v>6</v>
      </c>
      <c r="J159" s="41">
        <v>0</v>
      </c>
    </row>
    <row r="160" spans="1:10" ht="15.75" x14ac:dyDescent="0.25">
      <c r="A160" s="3"/>
      <c r="B160" s="91"/>
      <c r="C160" s="4" t="s">
        <v>94</v>
      </c>
      <c r="D160" s="3"/>
      <c r="E160" s="3"/>
      <c r="F160" s="3"/>
      <c r="G160" s="49" t="s">
        <v>100</v>
      </c>
      <c r="H160" s="59">
        <f>H161+H175+H189+H229</f>
        <v>244828.79999999999</v>
      </c>
      <c r="I160" s="59">
        <f>I161+I175+I189+I229</f>
        <v>182614</v>
      </c>
      <c r="J160" s="59">
        <f>J161+J175+J189+J229</f>
        <v>180426.30000000002</v>
      </c>
    </row>
    <row r="161" spans="1:10" s="32" customFormat="1" ht="14.25" x14ac:dyDescent="0.2">
      <c r="A161" s="29"/>
      <c r="B161" s="24"/>
      <c r="C161" s="30" t="s">
        <v>94</v>
      </c>
      <c r="D161" s="30" t="s">
        <v>95</v>
      </c>
      <c r="E161" s="30"/>
      <c r="F161" s="30"/>
      <c r="G161" s="45" t="s">
        <v>103</v>
      </c>
      <c r="H161" s="40">
        <f>H162+H170</f>
        <v>4254</v>
      </c>
      <c r="I161" s="40">
        <f>I162+I170</f>
        <v>2222.9</v>
      </c>
      <c r="J161" s="40">
        <f>J162+J170</f>
        <v>2222.9</v>
      </c>
    </row>
    <row r="162" spans="1:10" s="32" customFormat="1" ht="89.25" x14ac:dyDescent="0.2">
      <c r="A162" s="29"/>
      <c r="B162" s="24"/>
      <c r="C162" s="82" t="s">
        <v>94</v>
      </c>
      <c r="D162" s="82" t="s">
        <v>95</v>
      </c>
      <c r="E162" s="73" t="s">
        <v>69</v>
      </c>
      <c r="F162" s="16"/>
      <c r="G162" s="142" t="s">
        <v>576</v>
      </c>
      <c r="H162" s="96">
        <f>H163</f>
        <v>3298.7</v>
      </c>
      <c r="I162" s="96">
        <f>I163</f>
        <v>2159.9</v>
      </c>
      <c r="J162" s="96">
        <f>J163</f>
        <v>2159.9</v>
      </c>
    </row>
    <row r="163" spans="1:10" s="32" customFormat="1" ht="38.25" x14ac:dyDescent="0.2">
      <c r="A163" s="29"/>
      <c r="B163" s="24"/>
      <c r="C163" s="82" t="s">
        <v>94</v>
      </c>
      <c r="D163" s="82" t="s">
        <v>95</v>
      </c>
      <c r="E163" s="52" t="s">
        <v>163</v>
      </c>
      <c r="F163" s="16"/>
      <c r="G163" s="99" t="s">
        <v>162</v>
      </c>
      <c r="H163" s="39">
        <f>H164</f>
        <v>3298.7</v>
      </c>
      <c r="I163" s="39">
        <f t="shared" ref="I163:J163" si="52">I164</f>
        <v>2159.9</v>
      </c>
      <c r="J163" s="39">
        <f t="shared" si="52"/>
        <v>2159.9</v>
      </c>
    </row>
    <row r="164" spans="1:10" s="32" customFormat="1" ht="25.5" x14ac:dyDescent="0.2">
      <c r="A164" s="29"/>
      <c r="B164" s="24"/>
      <c r="C164" s="16" t="s">
        <v>94</v>
      </c>
      <c r="D164" s="82" t="s">
        <v>95</v>
      </c>
      <c r="E164" s="21" t="s">
        <v>340</v>
      </c>
      <c r="F164" s="82"/>
      <c r="G164" s="99" t="s">
        <v>336</v>
      </c>
      <c r="H164" s="41">
        <f>H165+H167</f>
        <v>3298.7</v>
      </c>
      <c r="I164" s="41">
        <f t="shared" ref="I164:J164" si="53">I165+I167</f>
        <v>2159.9</v>
      </c>
      <c r="J164" s="41">
        <f t="shared" si="53"/>
        <v>2159.9</v>
      </c>
    </row>
    <row r="165" spans="1:10" s="32" customFormat="1" ht="38.25" x14ac:dyDescent="0.2">
      <c r="A165" s="29"/>
      <c r="B165" s="24"/>
      <c r="C165" s="82" t="s">
        <v>94</v>
      </c>
      <c r="D165" s="82" t="s">
        <v>95</v>
      </c>
      <c r="E165" s="21" t="s">
        <v>619</v>
      </c>
      <c r="F165" s="16"/>
      <c r="G165" s="99" t="s">
        <v>644</v>
      </c>
      <c r="H165" s="39">
        <f>H166</f>
        <v>2400</v>
      </c>
      <c r="I165" s="39">
        <f t="shared" ref="I165:J165" si="54">I166</f>
        <v>2159.9</v>
      </c>
      <c r="J165" s="39">
        <f t="shared" si="54"/>
        <v>2159.9</v>
      </c>
    </row>
    <row r="166" spans="1:10" s="32" customFormat="1" ht="38.25" x14ac:dyDescent="0.2">
      <c r="A166" s="29"/>
      <c r="B166" s="24"/>
      <c r="C166" s="82" t="s">
        <v>94</v>
      </c>
      <c r="D166" s="82" t="s">
        <v>95</v>
      </c>
      <c r="E166" s="21" t="s">
        <v>619</v>
      </c>
      <c r="F166" s="82" t="s">
        <v>211</v>
      </c>
      <c r="G166" s="98" t="s">
        <v>212</v>
      </c>
      <c r="H166" s="39">
        <f>1500+890.1+9.9</f>
        <v>2400</v>
      </c>
      <c r="I166" s="39">
        <v>2159.9</v>
      </c>
      <c r="J166" s="39">
        <v>2159.9</v>
      </c>
    </row>
    <row r="167" spans="1:10" s="32" customFormat="1" ht="89.25" x14ac:dyDescent="0.2">
      <c r="A167" s="29"/>
      <c r="B167" s="24"/>
      <c r="C167" s="82" t="s">
        <v>94</v>
      </c>
      <c r="D167" s="82" t="s">
        <v>95</v>
      </c>
      <c r="E167" s="21" t="s">
        <v>758</v>
      </c>
      <c r="F167" s="82"/>
      <c r="G167" s="98" t="s">
        <v>759</v>
      </c>
      <c r="H167" s="39">
        <f>SUM(H168:H169)</f>
        <v>898.7</v>
      </c>
      <c r="I167" s="39">
        <f t="shared" ref="I167:J167" si="55">I168</f>
        <v>0</v>
      </c>
      <c r="J167" s="39">
        <f t="shared" si="55"/>
        <v>0</v>
      </c>
    </row>
    <row r="168" spans="1:10" s="32" customFormat="1" ht="38.25" x14ac:dyDescent="0.2">
      <c r="A168" s="29"/>
      <c r="B168" s="24"/>
      <c r="C168" s="82" t="s">
        <v>94</v>
      </c>
      <c r="D168" s="82" t="s">
        <v>95</v>
      </c>
      <c r="E168" s="21" t="s">
        <v>758</v>
      </c>
      <c r="F168" s="82" t="s">
        <v>211</v>
      </c>
      <c r="G168" s="98" t="s">
        <v>212</v>
      </c>
      <c r="H168" s="39">
        <v>738.2</v>
      </c>
      <c r="I168" s="39">
        <v>0</v>
      </c>
      <c r="J168" s="39">
        <v>0</v>
      </c>
    </row>
    <row r="169" spans="1:10" s="32" customFormat="1" ht="14.25" x14ac:dyDescent="0.2">
      <c r="A169" s="29"/>
      <c r="B169" s="24"/>
      <c r="C169" s="82" t="s">
        <v>94</v>
      </c>
      <c r="D169" s="82" t="s">
        <v>95</v>
      </c>
      <c r="E169" s="21" t="s">
        <v>758</v>
      </c>
      <c r="F169" s="82" t="s">
        <v>748</v>
      </c>
      <c r="G169" s="98" t="s">
        <v>749</v>
      </c>
      <c r="H169" s="39">
        <v>160.5</v>
      </c>
      <c r="I169" s="39">
        <v>0</v>
      </c>
      <c r="J169" s="39">
        <v>0</v>
      </c>
    </row>
    <row r="170" spans="1:10" s="32" customFormat="1" ht="89.25" x14ac:dyDescent="0.2">
      <c r="A170" s="29"/>
      <c r="B170" s="24"/>
      <c r="C170" s="17" t="s">
        <v>94</v>
      </c>
      <c r="D170" s="17" t="s">
        <v>95</v>
      </c>
      <c r="E170" s="74">
        <v>400000000</v>
      </c>
      <c r="F170" s="30"/>
      <c r="G170" s="141" t="s">
        <v>575</v>
      </c>
      <c r="H170" s="96">
        <f t="shared" ref="H170:J173" si="56">H171</f>
        <v>955.3</v>
      </c>
      <c r="I170" s="96">
        <f t="shared" si="56"/>
        <v>63</v>
      </c>
      <c r="J170" s="96">
        <f t="shared" si="56"/>
        <v>63</v>
      </c>
    </row>
    <row r="171" spans="1:10" s="32" customFormat="1" ht="51" customHeight="1" x14ac:dyDescent="0.2">
      <c r="A171" s="29"/>
      <c r="B171" s="24"/>
      <c r="C171" s="47" t="s">
        <v>94</v>
      </c>
      <c r="D171" s="47" t="s">
        <v>95</v>
      </c>
      <c r="E171" s="75">
        <v>410000000</v>
      </c>
      <c r="F171" s="30"/>
      <c r="G171" s="46" t="s">
        <v>462</v>
      </c>
      <c r="H171" s="93">
        <f t="shared" si="56"/>
        <v>955.3</v>
      </c>
      <c r="I171" s="93">
        <f t="shared" si="56"/>
        <v>63</v>
      </c>
      <c r="J171" s="93">
        <f t="shared" si="56"/>
        <v>63</v>
      </c>
    </row>
    <row r="172" spans="1:10" s="32" customFormat="1" ht="51" x14ac:dyDescent="0.2">
      <c r="A172" s="29"/>
      <c r="B172" s="24"/>
      <c r="C172" s="82" t="s">
        <v>94</v>
      </c>
      <c r="D172" s="82" t="s">
        <v>95</v>
      </c>
      <c r="E172" s="74">
        <v>410100000</v>
      </c>
      <c r="F172" s="30"/>
      <c r="G172" s="97" t="s">
        <v>463</v>
      </c>
      <c r="H172" s="93">
        <f>H173</f>
        <v>955.3</v>
      </c>
      <c r="I172" s="93">
        <f t="shared" si="56"/>
        <v>63</v>
      </c>
      <c r="J172" s="93">
        <f t="shared" si="56"/>
        <v>63</v>
      </c>
    </row>
    <row r="173" spans="1:10" s="32" customFormat="1" ht="25.5" x14ac:dyDescent="0.2">
      <c r="A173" s="29"/>
      <c r="B173" s="24"/>
      <c r="C173" s="82" t="s">
        <v>94</v>
      </c>
      <c r="D173" s="82" t="s">
        <v>95</v>
      </c>
      <c r="E173" s="135" t="s">
        <v>629</v>
      </c>
      <c r="F173" s="16"/>
      <c r="G173" s="99" t="s">
        <v>169</v>
      </c>
      <c r="H173" s="39">
        <f>H174</f>
        <v>955.3</v>
      </c>
      <c r="I173" s="39">
        <f t="shared" si="56"/>
        <v>63</v>
      </c>
      <c r="J173" s="39">
        <f t="shared" si="56"/>
        <v>63</v>
      </c>
    </row>
    <row r="174" spans="1:10" s="32" customFormat="1" ht="38.25" x14ac:dyDescent="0.2">
      <c r="A174" s="29"/>
      <c r="B174" s="24"/>
      <c r="C174" s="82" t="s">
        <v>94</v>
      </c>
      <c r="D174" s="82" t="s">
        <v>95</v>
      </c>
      <c r="E174" s="135" t="s">
        <v>629</v>
      </c>
      <c r="F174" s="82" t="s">
        <v>211</v>
      </c>
      <c r="G174" s="98" t="s">
        <v>212</v>
      </c>
      <c r="H174" s="39">
        <f>1160.5-205.2</f>
        <v>955.3</v>
      </c>
      <c r="I174" s="39">
        <v>63</v>
      </c>
      <c r="J174" s="39">
        <v>63</v>
      </c>
    </row>
    <row r="175" spans="1:10" ht="14.25" x14ac:dyDescent="0.2">
      <c r="A175" s="1"/>
      <c r="B175" s="25"/>
      <c r="C175" s="30" t="s">
        <v>94</v>
      </c>
      <c r="D175" s="30" t="s">
        <v>101</v>
      </c>
      <c r="E175" s="30"/>
      <c r="F175" s="30"/>
      <c r="G175" s="27" t="s">
        <v>1</v>
      </c>
      <c r="H175" s="40">
        <f t="shared" ref="H175:J175" si="57">H176</f>
        <v>31217.7</v>
      </c>
      <c r="I175" s="40">
        <f t="shared" si="57"/>
        <v>30503.600000000002</v>
      </c>
      <c r="J175" s="40">
        <f t="shared" si="57"/>
        <v>30447.100000000002</v>
      </c>
    </row>
    <row r="176" spans="1:10" ht="102" x14ac:dyDescent="0.2">
      <c r="A176" s="1"/>
      <c r="B176" s="25"/>
      <c r="C176" s="5" t="s">
        <v>94</v>
      </c>
      <c r="D176" s="5" t="s">
        <v>101</v>
      </c>
      <c r="E176" s="73" t="s">
        <v>67</v>
      </c>
      <c r="F176" s="30"/>
      <c r="G176" s="141" t="s">
        <v>581</v>
      </c>
      <c r="H176" s="96">
        <f t="shared" ref="H176:J177" si="58">H177</f>
        <v>31217.7</v>
      </c>
      <c r="I176" s="96">
        <f t="shared" si="58"/>
        <v>30503.600000000002</v>
      </c>
      <c r="J176" s="96">
        <f t="shared" si="58"/>
        <v>30447.100000000002</v>
      </c>
    </row>
    <row r="177" spans="1:10" ht="63.75" x14ac:dyDescent="0.2">
      <c r="A177" s="1"/>
      <c r="B177" s="25"/>
      <c r="C177" s="16" t="s">
        <v>94</v>
      </c>
      <c r="D177" s="16" t="s">
        <v>101</v>
      </c>
      <c r="E177" s="52" t="s">
        <v>214</v>
      </c>
      <c r="F177" s="30"/>
      <c r="G177" s="46" t="s">
        <v>186</v>
      </c>
      <c r="H177" s="93">
        <f>H178</f>
        <v>31217.7</v>
      </c>
      <c r="I177" s="93">
        <f t="shared" si="58"/>
        <v>30503.600000000002</v>
      </c>
      <c r="J177" s="93">
        <f t="shared" si="58"/>
        <v>30447.100000000002</v>
      </c>
    </row>
    <row r="178" spans="1:10" ht="25.5" x14ac:dyDescent="0.2">
      <c r="A178" s="1"/>
      <c r="B178" s="25"/>
      <c r="C178" s="16" t="s">
        <v>94</v>
      </c>
      <c r="D178" s="16" t="s">
        <v>101</v>
      </c>
      <c r="E178" s="74">
        <v>920100000</v>
      </c>
      <c r="F178" s="30"/>
      <c r="G178" s="97" t="s">
        <v>296</v>
      </c>
      <c r="H178" s="39">
        <f>H179+H181+H183+H185+H187</f>
        <v>31217.7</v>
      </c>
      <c r="I178" s="39">
        <f t="shared" ref="I178:J178" si="59">I179+I181+I183+I185+I187</f>
        <v>30503.600000000002</v>
      </c>
      <c r="J178" s="39">
        <f t="shared" si="59"/>
        <v>30447.100000000002</v>
      </c>
    </row>
    <row r="179" spans="1:10" ht="76.5" x14ac:dyDescent="0.2">
      <c r="A179" s="1"/>
      <c r="B179" s="25"/>
      <c r="C179" s="16" t="s">
        <v>94</v>
      </c>
      <c r="D179" s="16" t="s">
        <v>101</v>
      </c>
      <c r="E179" s="74" t="s">
        <v>304</v>
      </c>
      <c r="F179" s="30"/>
      <c r="G179" s="97" t="s">
        <v>215</v>
      </c>
      <c r="H179" s="39">
        <f>H180</f>
        <v>5040</v>
      </c>
      <c r="I179" s="39">
        <f>I180</f>
        <v>5055.2</v>
      </c>
      <c r="J179" s="39">
        <f>J180</f>
        <v>5054.8999999999996</v>
      </c>
    </row>
    <row r="180" spans="1:10" ht="38.25" x14ac:dyDescent="0.2">
      <c r="A180" s="1"/>
      <c r="B180" s="25"/>
      <c r="C180" s="16" t="s">
        <v>94</v>
      </c>
      <c r="D180" s="16" t="s">
        <v>101</v>
      </c>
      <c r="E180" s="74" t="s">
        <v>304</v>
      </c>
      <c r="F180" s="82" t="s">
        <v>211</v>
      </c>
      <c r="G180" s="98" t="s">
        <v>212</v>
      </c>
      <c r="H180" s="39">
        <v>5040</v>
      </c>
      <c r="I180" s="39">
        <v>5055.2</v>
      </c>
      <c r="J180" s="39">
        <v>5054.8999999999996</v>
      </c>
    </row>
    <row r="181" spans="1:10" ht="53.25" customHeight="1" x14ac:dyDescent="0.2">
      <c r="A181" s="1"/>
      <c r="B181" s="25"/>
      <c r="C181" s="16" t="s">
        <v>94</v>
      </c>
      <c r="D181" s="16" t="s">
        <v>101</v>
      </c>
      <c r="E181" s="74">
        <v>920110300</v>
      </c>
      <c r="F181" s="16"/>
      <c r="G181" s="97" t="s">
        <v>648</v>
      </c>
      <c r="H181" s="39">
        <f>H182</f>
        <v>20160.099999999999</v>
      </c>
      <c r="I181" s="39">
        <f>I182</f>
        <v>20220.7</v>
      </c>
      <c r="J181" s="39">
        <f>J182</f>
        <v>20219.5</v>
      </c>
    </row>
    <row r="182" spans="1:10" ht="38.25" x14ac:dyDescent="0.2">
      <c r="A182" s="1"/>
      <c r="B182" s="25"/>
      <c r="C182" s="16" t="s">
        <v>94</v>
      </c>
      <c r="D182" s="16" t="s">
        <v>101</v>
      </c>
      <c r="E182" s="74">
        <v>920110300</v>
      </c>
      <c r="F182" s="82" t="s">
        <v>211</v>
      </c>
      <c r="G182" s="98" t="s">
        <v>212</v>
      </c>
      <c r="H182" s="39">
        <v>20160.099999999999</v>
      </c>
      <c r="I182" s="39">
        <v>20220.7</v>
      </c>
      <c r="J182" s="39">
        <v>20219.5</v>
      </c>
    </row>
    <row r="183" spans="1:10" ht="63.75" x14ac:dyDescent="0.2">
      <c r="A183" s="1"/>
      <c r="B183" s="25"/>
      <c r="C183" s="16" t="s">
        <v>94</v>
      </c>
      <c r="D183" s="16" t="s">
        <v>101</v>
      </c>
      <c r="E183" s="74">
        <v>920123485</v>
      </c>
      <c r="F183" s="82"/>
      <c r="G183" s="54" t="s">
        <v>668</v>
      </c>
      <c r="H183" s="39">
        <f>H184</f>
        <v>3361.4</v>
      </c>
      <c r="I183" s="39">
        <f t="shared" ref="I183:J183" si="60">I184</f>
        <v>1413.8</v>
      </c>
      <c r="J183" s="39">
        <f t="shared" si="60"/>
        <v>1413.8</v>
      </c>
    </row>
    <row r="184" spans="1:10" ht="38.25" x14ac:dyDescent="0.2">
      <c r="A184" s="1"/>
      <c r="B184" s="25"/>
      <c r="C184" s="16" t="s">
        <v>94</v>
      </c>
      <c r="D184" s="16" t="s">
        <v>101</v>
      </c>
      <c r="E184" s="74">
        <v>920123485</v>
      </c>
      <c r="F184" s="82" t="s">
        <v>211</v>
      </c>
      <c r="G184" s="98" t="s">
        <v>212</v>
      </c>
      <c r="H184" s="220">
        <f>1413.8+979.2+314.5+310.6+343.3</f>
        <v>3361.4</v>
      </c>
      <c r="I184" s="39">
        <v>1413.8</v>
      </c>
      <c r="J184" s="39">
        <v>1413.8</v>
      </c>
    </row>
    <row r="185" spans="1:10" ht="63.75" x14ac:dyDescent="0.2">
      <c r="A185" s="1"/>
      <c r="B185" s="25"/>
      <c r="C185" s="16" t="s">
        <v>94</v>
      </c>
      <c r="D185" s="16" t="s">
        <v>101</v>
      </c>
      <c r="E185" s="74">
        <v>920123490</v>
      </c>
      <c r="F185" s="82"/>
      <c r="G185" s="54" t="s">
        <v>512</v>
      </c>
      <c r="H185" s="39">
        <f>H186</f>
        <v>0</v>
      </c>
      <c r="I185" s="39">
        <f>I186</f>
        <v>55</v>
      </c>
      <c r="J185" s="39">
        <f>J186</f>
        <v>0</v>
      </c>
    </row>
    <row r="186" spans="1:10" ht="38.25" x14ac:dyDescent="0.2">
      <c r="A186" s="1"/>
      <c r="B186" s="25"/>
      <c r="C186" s="16" t="s">
        <v>94</v>
      </c>
      <c r="D186" s="16" t="s">
        <v>101</v>
      </c>
      <c r="E186" s="74">
        <v>920123490</v>
      </c>
      <c r="F186" s="82" t="s">
        <v>211</v>
      </c>
      <c r="G186" s="98" t="s">
        <v>212</v>
      </c>
      <c r="H186" s="39">
        <v>0</v>
      </c>
      <c r="I186" s="39">
        <v>55</v>
      </c>
      <c r="J186" s="39">
        <v>0</v>
      </c>
    </row>
    <row r="187" spans="1:10" ht="77.25" customHeight="1" x14ac:dyDescent="0.2">
      <c r="A187" s="1"/>
      <c r="B187" s="25"/>
      <c r="C187" s="16" t="s">
        <v>94</v>
      </c>
      <c r="D187" s="16" t="s">
        <v>101</v>
      </c>
      <c r="E187" s="74">
        <v>920123495</v>
      </c>
      <c r="F187" s="82"/>
      <c r="G187" s="54" t="s">
        <v>561</v>
      </c>
      <c r="H187" s="39">
        <f>H188</f>
        <v>2656.2</v>
      </c>
      <c r="I187" s="39">
        <f>I188</f>
        <v>3758.9</v>
      </c>
      <c r="J187" s="39">
        <f>J188</f>
        <v>3758.9</v>
      </c>
    </row>
    <row r="188" spans="1:10" ht="38.25" x14ac:dyDescent="0.2">
      <c r="A188" s="1"/>
      <c r="B188" s="25"/>
      <c r="C188" s="16" t="s">
        <v>94</v>
      </c>
      <c r="D188" s="16" t="s">
        <v>101</v>
      </c>
      <c r="E188" s="74">
        <v>920123495</v>
      </c>
      <c r="F188" s="82" t="s">
        <v>211</v>
      </c>
      <c r="G188" s="98" t="s">
        <v>212</v>
      </c>
      <c r="H188" s="39">
        <f>2500+156.2</f>
        <v>2656.2</v>
      </c>
      <c r="I188" s="39">
        <v>3758.9</v>
      </c>
      <c r="J188" s="39">
        <v>3758.9</v>
      </c>
    </row>
    <row r="189" spans="1:10" ht="28.5" x14ac:dyDescent="0.2">
      <c r="A189" s="1"/>
      <c r="B189" s="25"/>
      <c r="C189" s="30" t="s">
        <v>94</v>
      </c>
      <c r="D189" s="30" t="s">
        <v>99</v>
      </c>
      <c r="E189" s="30"/>
      <c r="F189" s="30"/>
      <c r="G189" s="50" t="s">
        <v>198</v>
      </c>
      <c r="H189" s="40">
        <f>+H190+H213</f>
        <v>207665.1</v>
      </c>
      <c r="I189" s="40">
        <f>+I190+I213</f>
        <v>148481.29999999999</v>
      </c>
      <c r="J189" s="40">
        <f>+J190+J213</f>
        <v>146350.1</v>
      </c>
    </row>
    <row r="190" spans="1:10" ht="102" x14ac:dyDescent="0.2">
      <c r="A190" s="1"/>
      <c r="B190" s="25"/>
      <c r="C190" s="5" t="s">
        <v>94</v>
      </c>
      <c r="D190" s="5" t="s">
        <v>99</v>
      </c>
      <c r="E190" s="73" t="s">
        <v>67</v>
      </c>
      <c r="F190" s="30"/>
      <c r="G190" s="141" t="s">
        <v>581</v>
      </c>
      <c r="H190" s="96">
        <f t="shared" ref="H190:J191" si="61">H191</f>
        <v>202607.6</v>
      </c>
      <c r="I190" s="96">
        <f t="shared" si="61"/>
        <v>141596.4</v>
      </c>
      <c r="J190" s="96">
        <f t="shared" si="61"/>
        <v>141652.9</v>
      </c>
    </row>
    <row r="191" spans="1:10" ht="63.75" x14ac:dyDescent="0.2">
      <c r="A191" s="1"/>
      <c r="B191" s="25"/>
      <c r="C191" s="16" t="s">
        <v>94</v>
      </c>
      <c r="D191" s="16" t="s">
        <v>99</v>
      </c>
      <c r="E191" s="52" t="s">
        <v>68</v>
      </c>
      <c r="F191" s="30"/>
      <c r="G191" s="46" t="s">
        <v>165</v>
      </c>
      <c r="H191" s="93">
        <f>H192</f>
        <v>202607.6</v>
      </c>
      <c r="I191" s="93">
        <f t="shared" si="61"/>
        <v>141596.4</v>
      </c>
      <c r="J191" s="93">
        <f t="shared" si="61"/>
        <v>141652.9</v>
      </c>
    </row>
    <row r="192" spans="1:10" ht="38.25" x14ac:dyDescent="0.2">
      <c r="A192" s="1"/>
      <c r="B192" s="25"/>
      <c r="C192" s="16" t="s">
        <v>94</v>
      </c>
      <c r="D192" s="16" t="s">
        <v>99</v>
      </c>
      <c r="E192" s="21" t="s">
        <v>295</v>
      </c>
      <c r="F192" s="30"/>
      <c r="G192" s="97" t="s">
        <v>306</v>
      </c>
      <c r="H192" s="39">
        <f>H193+H195+H197+H199+H201+H203+H205+H207+H209+H211</f>
        <v>202607.6</v>
      </c>
      <c r="I192" s="39">
        <f t="shared" ref="I192:J192" si="62">I193+I195+I197+I199+I201+I203+I205+I207+I209+I211</f>
        <v>141596.4</v>
      </c>
      <c r="J192" s="39">
        <f t="shared" si="62"/>
        <v>141652.9</v>
      </c>
    </row>
    <row r="193" spans="1:11" ht="89.25" x14ac:dyDescent="0.2">
      <c r="A193" s="1"/>
      <c r="B193" s="25"/>
      <c r="C193" s="16" t="s">
        <v>94</v>
      </c>
      <c r="D193" s="16" t="s">
        <v>99</v>
      </c>
      <c r="E193" s="74">
        <v>910123405</v>
      </c>
      <c r="F193" s="30"/>
      <c r="G193" s="97" t="s">
        <v>294</v>
      </c>
      <c r="H193" s="39">
        <f>H194</f>
        <v>15159.4</v>
      </c>
      <c r="I193" s="39">
        <f>I194</f>
        <v>15386.8</v>
      </c>
      <c r="J193" s="39">
        <f>J194</f>
        <v>16489.8</v>
      </c>
    </row>
    <row r="194" spans="1:11" ht="38.25" x14ac:dyDescent="0.2">
      <c r="A194" s="1"/>
      <c r="B194" s="25"/>
      <c r="C194" s="16" t="s">
        <v>94</v>
      </c>
      <c r="D194" s="16" t="s">
        <v>99</v>
      </c>
      <c r="E194" s="74">
        <v>910123405</v>
      </c>
      <c r="F194" s="82" t="s">
        <v>211</v>
      </c>
      <c r="G194" s="98" t="s">
        <v>212</v>
      </c>
      <c r="H194" s="39">
        <f>15759.4-600</f>
        <v>15159.4</v>
      </c>
      <c r="I194" s="39">
        <v>15386.8</v>
      </c>
      <c r="J194" s="39">
        <v>16489.8</v>
      </c>
    </row>
    <row r="195" spans="1:11" ht="62.25" customHeight="1" x14ac:dyDescent="0.2">
      <c r="A195" s="1"/>
      <c r="B195" s="25"/>
      <c r="C195" s="16" t="s">
        <v>94</v>
      </c>
      <c r="D195" s="16" t="s">
        <v>99</v>
      </c>
      <c r="E195" s="74">
        <v>910110520</v>
      </c>
      <c r="F195" s="30"/>
      <c r="G195" s="97" t="s">
        <v>184</v>
      </c>
      <c r="H195" s="39">
        <f>H196</f>
        <v>25070.9</v>
      </c>
      <c r="I195" s="39">
        <f>I196</f>
        <v>26073.7</v>
      </c>
      <c r="J195" s="39">
        <f>J196</f>
        <v>27116.6</v>
      </c>
    </row>
    <row r="196" spans="1:11" ht="38.25" x14ac:dyDescent="0.2">
      <c r="A196" s="1"/>
      <c r="B196" s="25"/>
      <c r="C196" s="16" t="s">
        <v>94</v>
      </c>
      <c r="D196" s="16" t="s">
        <v>99</v>
      </c>
      <c r="E196" s="74">
        <v>910110520</v>
      </c>
      <c r="F196" s="82" t="s">
        <v>211</v>
      </c>
      <c r="G196" s="98" t="s">
        <v>212</v>
      </c>
      <c r="H196" s="1">
        <v>25070.9</v>
      </c>
      <c r="I196" s="39">
        <v>26073.7</v>
      </c>
      <c r="J196" s="1">
        <v>27116.6</v>
      </c>
    </row>
    <row r="197" spans="1:11" ht="25.5" x14ac:dyDescent="0.2">
      <c r="A197" s="1"/>
      <c r="B197" s="25"/>
      <c r="C197" s="16" t="s">
        <v>94</v>
      </c>
      <c r="D197" s="16" t="s">
        <v>99</v>
      </c>
      <c r="E197" s="74">
        <v>910123410</v>
      </c>
      <c r="F197" s="16"/>
      <c r="G197" s="98" t="s">
        <v>185</v>
      </c>
      <c r="H197" s="39">
        <f>H198</f>
        <v>22596.1</v>
      </c>
      <c r="I197" s="39">
        <f>I198</f>
        <v>21684.6</v>
      </c>
      <c r="J197" s="39">
        <f>J198</f>
        <v>16457</v>
      </c>
    </row>
    <row r="198" spans="1:11" ht="38.25" x14ac:dyDescent="0.2">
      <c r="A198" s="1"/>
      <c r="B198" s="25"/>
      <c r="C198" s="16" t="s">
        <v>94</v>
      </c>
      <c r="D198" s="16" t="s">
        <v>99</v>
      </c>
      <c r="E198" s="74">
        <v>910123410</v>
      </c>
      <c r="F198" s="82" t="s">
        <v>211</v>
      </c>
      <c r="G198" s="98" t="s">
        <v>212</v>
      </c>
      <c r="H198" s="39">
        <f>25695.2-535.4-2563.7</f>
        <v>22596.1</v>
      </c>
      <c r="I198" s="39">
        <v>21684.6</v>
      </c>
      <c r="J198" s="39">
        <v>16457</v>
      </c>
    </row>
    <row r="199" spans="1:11" ht="102" x14ac:dyDescent="0.2">
      <c r="A199" s="1"/>
      <c r="B199" s="25"/>
      <c r="C199" s="16" t="s">
        <v>94</v>
      </c>
      <c r="D199" s="16" t="s">
        <v>99</v>
      </c>
      <c r="E199" s="74">
        <v>910123415</v>
      </c>
      <c r="F199" s="82"/>
      <c r="G199" s="130" t="s">
        <v>724</v>
      </c>
      <c r="H199" s="39">
        <f>H200</f>
        <v>2260.8000000000002</v>
      </c>
      <c r="I199" s="39">
        <f t="shared" ref="I199:J199" si="63">I200</f>
        <v>0</v>
      </c>
      <c r="J199" s="39">
        <f t="shared" si="63"/>
        <v>0</v>
      </c>
    </row>
    <row r="200" spans="1:11" ht="38.25" x14ac:dyDescent="0.2">
      <c r="A200" s="1"/>
      <c r="B200" s="25"/>
      <c r="C200" s="16" t="s">
        <v>94</v>
      </c>
      <c r="D200" s="16" t="s">
        <v>99</v>
      </c>
      <c r="E200" s="74">
        <v>910123415</v>
      </c>
      <c r="F200" s="82" t="s">
        <v>211</v>
      </c>
      <c r="G200" s="98" t="s">
        <v>212</v>
      </c>
      <c r="H200" s="39">
        <f>2250+10.8</f>
        <v>2260.8000000000002</v>
      </c>
      <c r="I200" s="39">
        <v>0</v>
      </c>
      <c r="J200" s="39">
        <v>0</v>
      </c>
      <c r="K200" s="215"/>
    </row>
    <row r="201" spans="1:11" ht="51" x14ac:dyDescent="0.2">
      <c r="A201" s="1"/>
      <c r="B201" s="25"/>
      <c r="C201" s="16" t="s">
        <v>94</v>
      </c>
      <c r="D201" s="16" t="s">
        <v>99</v>
      </c>
      <c r="E201" s="74" t="s">
        <v>346</v>
      </c>
      <c r="F201" s="82"/>
      <c r="G201" s="123" t="s">
        <v>345</v>
      </c>
      <c r="H201" s="39">
        <f>H202</f>
        <v>1450.1999999999998</v>
      </c>
      <c r="I201" s="39">
        <f>I202</f>
        <v>1267.4000000000001</v>
      </c>
      <c r="J201" s="39">
        <f>J202</f>
        <v>1318.2</v>
      </c>
    </row>
    <row r="202" spans="1:11" ht="38.25" x14ac:dyDescent="0.2">
      <c r="A202" s="1"/>
      <c r="B202" s="25"/>
      <c r="C202" s="16" t="s">
        <v>94</v>
      </c>
      <c r="D202" s="16" t="s">
        <v>99</v>
      </c>
      <c r="E202" s="74" t="s">
        <v>346</v>
      </c>
      <c r="F202" s="82" t="s">
        <v>211</v>
      </c>
      <c r="G202" s="98" t="s">
        <v>212</v>
      </c>
      <c r="H202" s="227">
        <f>1218.7+452.9+200-714.5+293.1</f>
        <v>1450.1999999999998</v>
      </c>
      <c r="I202" s="39">
        <v>1267.4000000000001</v>
      </c>
      <c r="J202" s="39">
        <v>1318.2</v>
      </c>
    </row>
    <row r="203" spans="1:11" ht="63.75" x14ac:dyDescent="0.2">
      <c r="A203" s="1"/>
      <c r="B203" s="25"/>
      <c r="C203" s="16" t="s">
        <v>94</v>
      </c>
      <c r="D203" s="16" t="s">
        <v>99</v>
      </c>
      <c r="E203" s="137" t="s">
        <v>509</v>
      </c>
      <c r="F203" s="82"/>
      <c r="G203" s="123" t="s">
        <v>347</v>
      </c>
      <c r="H203" s="39">
        <f>H204</f>
        <v>8031.9</v>
      </c>
      <c r="I203" s="39">
        <f>I204</f>
        <v>11406.7</v>
      </c>
      <c r="J203" s="39">
        <f>J204</f>
        <v>11863</v>
      </c>
    </row>
    <row r="204" spans="1:11" ht="38.25" x14ac:dyDescent="0.2">
      <c r="A204" s="1"/>
      <c r="B204" s="25"/>
      <c r="C204" s="16" t="s">
        <v>94</v>
      </c>
      <c r="D204" s="16" t="s">
        <v>99</v>
      </c>
      <c r="E204" s="137" t="s">
        <v>509</v>
      </c>
      <c r="F204" s="82" t="s">
        <v>211</v>
      </c>
      <c r="G204" s="98" t="s">
        <v>212</v>
      </c>
      <c r="H204" s="39">
        <f>10968-2936.1</f>
        <v>8031.9</v>
      </c>
      <c r="I204" s="39">
        <v>11406.7</v>
      </c>
      <c r="J204" s="39">
        <v>11863</v>
      </c>
    </row>
    <row r="205" spans="1:11" ht="25.5" x14ac:dyDescent="0.2">
      <c r="A205" s="1"/>
      <c r="B205" s="25"/>
      <c r="C205" s="16" t="s">
        <v>94</v>
      </c>
      <c r="D205" s="16" t="s">
        <v>99</v>
      </c>
      <c r="E205" s="74" t="s">
        <v>342</v>
      </c>
      <c r="F205" s="82"/>
      <c r="G205" s="98" t="s">
        <v>343</v>
      </c>
      <c r="H205" s="39">
        <f>H206</f>
        <v>13904.5</v>
      </c>
      <c r="I205" s="39">
        <f>I206</f>
        <v>6577.7</v>
      </c>
      <c r="J205" s="39">
        <f>J206</f>
        <v>6840.8</v>
      </c>
    </row>
    <row r="206" spans="1:11" ht="38.25" x14ac:dyDescent="0.2">
      <c r="A206" s="1"/>
      <c r="B206" s="25"/>
      <c r="C206" s="16" t="s">
        <v>94</v>
      </c>
      <c r="D206" s="16" t="s">
        <v>99</v>
      </c>
      <c r="E206" s="74" t="s">
        <v>342</v>
      </c>
      <c r="F206" s="82" t="s">
        <v>211</v>
      </c>
      <c r="G206" s="98" t="s">
        <v>212</v>
      </c>
      <c r="H206" s="39">
        <f>8777.9+6107.5-980.9</f>
        <v>13904.5</v>
      </c>
      <c r="I206" s="39">
        <v>6577.7</v>
      </c>
      <c r="J206" s="39">
        <v>6840.8</v>
      </c>
      <c r="K206" s="213"/>
    </row>
    <row r="207" spans="1:11" ht="25.5" x14ac:dyDescent="0.2">
      <c r="A207" s="1"/>
      <c r="B207" s="25"/>
      <c r="C207" s="16" t="s">
        <v>94</v>
      </c>
      <c r="D207" s="16" t="s">
        <v>99</v>
      </c>
      <c r="E207" s="139" t="s">
        <v>510</v>
      </c>
      <c r="F207" s="82"/>
      <c r="G207" s="98" t="s">
        <v>344</v>
      </c>
      <c r="H207" s="39">
        <f>H208</f>
        <v>101125.1</v>
      </c>
      <c r="I207" s="39">
        <f>I208</f>
        <v>59199.5</v>
      </c>
      <c r="J207" s="39">
        <f>J208</f>
        <v>61567.5</v>
      </c>
    </row>
    <row r="208" spans="1:11" ht="38.25" x14ac:dyDescent="0.2">
      <c r="A208" s="1"/>
      <c r="B208" s="25"/>
      <c r="C208" s="16" t="s">
        <v>94</v>
      </c>
      <c r="D208" s="16" t="s">
        <v>99</v>
      </c>
      <c r="E208" s="139" t="s">
        <v>510</v>
      </c>
      <c r="F208" s="82" t="s">
        <v>211</v>
      </c>
      <c r="G208" s="98" t="s">
        <v>212</v>
      </c>
      <c r="H208" s="39">
        <f>58435.7+42689.4</f>
        <v>101125.1</v>
      </c>
      <c r="I208" s="1">
        <v>59199.5</v>
      </c>
      <c r="J208" s="1">
        <v>61567.5</v>
      </c>
    </row>
    <row r="209" spans="1:11" ht="25.5" x14ac:dyDescent="0.2">
      <c r="A209" s="1"/>
      <c r="B209" s="25"/>
      <c r="C209" s="16" t="s">
        <v>94</v>
      </c>
      <c r="D209" s="16" t="s">
        <v>99</v>
      </c>
      <c r="E209" s="74">
        <v>910123425</v>
      </c>
      <c r="F209" s="82"/>
      <c r="G209" s="98" t="s">
        <v>373</v>
      </c>
      <c r="H209" s="39">
        <f>H210</f>
        <v>10160.299999999999</v>
      </c>
      <c r="I209" s="39">
        <f>I210</f>
        <v>0</v>
      </c>
      <c r="J209" s="39">
        <f>J210</f>
        <v>0</v>
      </c>
      <c r="K209" s="213"/>
    </row>
    <row r="210" spans="1:11" ht="38.25" x14ac:dyDescent="0.2">
      <c r="A210" s="1"/>
      <c r="B210" s="25"/>
      <c r="C210" s="16" t="s">
        <v>94</v>
      </c>
      <c r="D210" s="16" t="s">
        <v>99</v>
      </c>
      <c r="E210" s="74">
        <v>910123425</v>
      </c>
      <c r="F210" s="82" t="s">
        <v>211</v>
      </c>
      <c r="G210" s="98" t="s">
        <v>212</v>
      </c>
      <c r="H210" s="39">
        <f>2448.7+5498.9+3253.7-1041</f>
        <v>10160.299999999999</v>
      </c>
      <c r="I210" s="39">
        <v>0</v>
      </c>
      <c r="J210" s="39">
        <v>0</v>
      </c>
    </row>
    <row r="211" spans="1:11" x14ac:dyDescent="0.2">
      <c r="A211" s="1"/>
      <c r="B211" s="25"/>
      <c r="C211" s="16" t="s">
        <v>94</v>
      </c>
      <c r="D211" s="16" t="s">
        <v>99</v>
      </c>
      <c r="E211" s="74">
        <v>910123430</v>
      </c>
      <c r="F211" s="82"/>
      <c r="G211" s="98" t="s">
        <v>723</v>
      </c>
      <c r="H211" s="39">
        <f>H212</f>
        <v>2848.4</v>
      </c>
      <c r="I211" s="39">
        <f>I212</f>
        <v>0</v>
      </c>
      <c r="J211" s="39">
        <f>J212</f>
        <v>0</v>
      </c>
    </row>
    <row r="212" spans="1:11" ht="38.25" x14ac:dyDescent="0.2">
      <c r="A212" s="1"/>
      <c r="B212" s="25"/>
      <c r="C212" s="16" t="s">
        <v>94</v>
      </c>
      <c r="D212" s="16" t="s">
        <v>99</v>
      </c>
      <c r="E212" s="74">
        <v>910123430</v>
      </c>
      <c r="F212" s="82" t="s">
        <v>211</v>
      </c>
      <c r="G212" s="98" t="s">
        <v>212</v>
      </c>
      <c r="H212" s="39">
        <f>667.9+2800-667.9+48.4</f>
        <v>2848.4</v>
      </c>
      <c r="I212" s="39">
        <v>0</v>
      </c>
      <c r="J212" s="39">
        <v>0</v>
      </c>
    </row>
    <row r="213" spans="1:11" ht="90" customHeight="1" x14ac:dyDescent="0.2">
      <c r="A213" s="1"/>
      <c r="B213" s="25"/>
      <c r="C213" s="73" t="s">
        <v>94</v>
      </c>
      <c r="D213" s="73" t="s">
        <v>99</v>
      </c>
      <c r="E213" s="73" t="s">
        <v>227</v>
      </c>
      <c r="F213" s="16"/>
      <c r="G213" s="64" t="s">
        <v>588</v>
      </c>
      <c r="H213" s="96">
        <f>H214</f>
        <v>5057.5</v>
      </c>
      <c r="I213" s="96">
        <f t="shared" ref="I213:J213" si="64">I214</f>
        <v>6884.9</v>
      </c>
      <c r="J213" s="96">
        <f t="shared" si="64"/>
        <v>4697.2</v>
      </c>
    </row>
    <row r="214" spans="1:11" ht="51" x14ac:dyDescent="0.2">
      <c r="A214" s="1"/>
      <c r="B214" s="25"/>
      <c r="C214" s="52" t="s">
        <v>94</v>
      </c>
      <c r="D214" s="52" t="s">
        <v>99</v>
      </c>
      <c r="E214" s="52" t="s">
        <v>228</v>
      </c>
      <c r="F214" s="47"/>
      <c r="G214" s="48" t="s">
        <v>229</v>
      </c>
      <c r="H214" s="96">
        <f>H215+H224</f>
        <v>5057.5</v>
      </c>
      <c r="I214" s="96">
        <f>I215+I224</f>
        <v>6884.9</v>
      </c>
      <c r="J214" s="96">
        <f>J215+J224</f>
        <v>4697.2</v>
      </c>
    </row>
    <row r="215" spans="1:11" ht="51" x14ac:dyDescent="0.2">
      <c r="A215" s="1"/>
      <c r="B215" s="25"/>
      <c r="C215" s="21" t="s">
        <v>94</v>
      </c>
      <c r="D215" s="21" t="s">
        <v>99</v>
      </c>
      <c r="E215" s="21" t="s">
        <v>230</v>
      </c>
      <c r="F215" s="82"/>
      <c r="G215" s="98" t="s">
        <v>231</v>
      </c>
      <c r="H215" s="41">
        <f>H216+H218+H220+H222</f>
        <v>1111.5999999999999</v>
      </c>
      <c r="I215" s="41">
        <f t="shared" ref="I215:J215" si="65">I216+I218+I220+I222</f>
        <v>2781.2</v>
      </c>
      <c r="J215" s="41">
        <f t="shared" si="65"/>
        <v>429.4</v>
      </c>
    </row>
    <row r="216" spans="1:11" ht="38.25" x14ac:dyDescent="0.2">
      <c r="A216" s="1"/>
      <c r="B216" s="25"/>
      <c r="C216" s="21" t="s">
        <v>94</v>
      </c>
      <c r="D216" s="21" t="s">
        <v>99</v>
      </c>
      <c r="E216" s="21" t="s">
        <v>530</v>
      </c>
      <c r="F216" s="82"/>
      <c r="G216" s="98" t="s">
        <v>339</v>
      </c>
      <c r="H216" s="41">
        <f>H217</f>
        <v>0</v>
      </c>
      <c r="I216" s="41">
        <f>I217</f>
        <v>2381.1999999999998</v>
      </c>
      <c r="J216" s="41">
        <f>J217</f>
        <v>0</v>
      </c>
    </row>
    <row r="217" spans="1:11" ht="38.25" x14ac:dyDescent="0.2">
      <c r="A217" s="1"/>
      <c r="B217" s="25"/>
      <c r="C217" s="21" t="s">
        <v>94</v>
      </c>
      <c r="D217" s="21" t="s">
        <v>99</v>
      </c>
      <c r="E217" s="21" t="s">
        <v>530</v>
      </c>
      <c r="F217" s="82" t="s">
        <v>211</v>
      </c>
      <c r="G217" s="98" t="s">
        <v>212</v>
      </c>
      <c r="H217" s="41">
        <v>0</v>
      </c>
      <c r="I217" s="41">
        <v>2381.1999999999998</v>
      </c>
      <c r="J217" s="41">
        <v>0</v>
      </c>
    </row>
    <row r="218" spans="1:11" ht="25.5" x14ac:dyDescent="0.2">
      <c r="A218" s="1"/>
      <c r="B218" s="25"/>
      <c r="C218" s="21" t="s">
        <v>94</v>
      </c>
      <c r="D218" s="21" t="s">
        <v>99</v>
      </c>
      <c r="E218" s="21" t="s">
        <v>688</v>
      </c>
      <c r="F218" s="82"/>
      <c r="G218" s="98" t="s">
        <v>689</v>
      </c>
      <c r="H218" s="41">
        <f>H219</f>
        <v>0</v>
      </c>
      <c r="I218" s="41">
        <f t="shared" ref="I218:J218" si="66">I219</f>
        <v>0</v>
      </c>
      <c r="J218" s="41">
        <f t="shared" si="66"/>
        <v>429.4</v>
      </c>
    </row>
    <row r="219" spans="1:11" ht="38.25" x14ac:dyDescent="0.2">
      <c r="A219" s="1"/>
      <c r="B219" s="25"/>
      <c r="C219" s="21" t="s">
        <v>94</v>
      </c>
      <c r="D219" s="21" t="s">
        <v>99</v>
      </c>
      <c r="E219" s="21" t="s">
        <v>688</v>
      </c>
      <c r="F219" s="82" t="s">
        <v>211</v>
      </c>
      <c r="G219" s="98" t="s">
        <v>212</v>
      </c>
      <c r="H219" s="41">
        <v>0</v>
      </c>
      <c r="I219" s="41">
        <v>0</v>
      </c>
      <c r="J219" s="41">
        <v>429.4</v>
      </c>
    </row>
    <row r="220" spans="1:11" ht="25.5" x14ac:dyDescent="0.2">
      <c r="A220" s="1"/>
      <c r="B220" s="25"/>
      <c r="C220" s="21" t="s">
        <v>94</v>
      </c>
      <c r="D220" s="21" t="s">
        <v>99</v>
      </c>
      <c r="E220" s="21" t="s">
        <v>531</v>
      </c>
      <c r="F220" s="16"/>
      <c r="G220" s="98" t="s">
        <v>329</v>
      </c>
      <c r="H220" s="41">
        <f>H221</f>
        <v>511.6</v>
      </c>
      <c r="I220" s="41">
        <f>I221</f>
        <v>400</v>
      </c>
      <c r="J220" s="41">
        <f>J221</f>
        <v>0</v>
      </c>
    </row>
    <row r="221" spans="1:11" ht="38.25" x14ac:dyDescent="0.2">
      <c r="A221" s="1"/>
      <c r="B221" s="25"/>
      <c r="C221" s="21" t="s">
        <v>94</v>
      </c>
      <c r="D221" s="21" t="s">
        <v>99</v>
      </c>
      <c r="E221" s="21" t="s">
        <v>531</v>
      </c>
      <c r="F221" s="82" t="s">
        <v>211</v>
      </c>
      <c r="G221" s="98" t="s">
        <v>212</v>
      </c>
      <c r="H221" s="41">
        <f>400+111.6</f>
        <v>511.6</v>
      </c>
      <c r="I221" s="41">
        <v>400</v>
      </c>
      <c r="J221" s="41">
        <v>0</v>
      </c>
    </row>
    <row r="222" spans="1:11" x14ac:dyDescent="0.2">
      <c r="A222" s="1"/>
      <c r="B222" s="25"/>
      <c r="C222" s="21" t="s">
        <v>94</v>
      </c>
      <c r="D222" s="21" t="s">
        <v>99</v>
      </c>
      <c r="E222" s="21" t="s">
        <v>630</v>
      </c>
      <c r="F222" s="82"/>
      <c r="G222" s="98" t="s">
        <v>598</v>
      </c>
      <c r="H222" s="41">
        <f>H223</f>
        <v>600</v>
      </c>
      <c r="I222" s="41">
        <f t="shared" ref="I222:J222" si="67">I223</f>
        <v>0</v>
      </c>
      <c r="J222" s="41">
        <f t="shared" si="67"/>
        <v>0</v>
      </c>
    </row>
    <row r="223" spans="1:11" ht="38.25" x14ac:dyDescent="0.2">
      <c r="A223" s="1"/>
      <c r="B223" s="25"/>
      <c r="C223" s="21" t="s">
        <v>94</v>
      </c>
      <c r="D223" s="21" t="s">
        <v>99</v>
      </c>
      <c r="E223" s="21" t="s">
        <v>630</v>
      </c>
      <c r="F223" s="82" t="s">
        <v>211</v>
      </c>
      <c r="G223" s="98" t="s">
        <v>212</v>
      </c>
      <c r="H223" s="41">
        <v>600</v>
      </c>
      <c r="I223" s="41">
        <v>0</v>
      </c>
      <c r="J223" s="41">
        <v>0</v>
      </c>
    </row>
    <row r="224" spans="1:11" ht="63.75" x14ac:dyDescent="0.2">
      <c r="A224" s="1"/>
      <c r="B224" s="25"/>
      <c r="C224" s="21" t="s">
        <v>94</v>
      </c>
      <c r="D224" s="21" t="s">
        <v>99</v>
      </c>
      <c r="E224" s="51" t="s">
        <v>528</v>
      </c>
      <c r="F224" s="82"/>
      <c r="G224" s="98" t="s">
        <v>529</v>
      </c>
      <c r="H224" s="41">
        <f>H225+H227</f>
        <v>3945.9</v>
      </c>
      <c r="I224" s="41">
        <f t="shared" ref="I224:J224" si="68">I225+I227</f>
        <v>4103.7</v>
      </c>
      <c r="J224" s="41">
        <f t="shared" si="68"/>
        <v>4267.8</v>
      </c>
    </row>
    <row r="225" spans="1:10" ht="42" customHeight="1" x14ac:dyDescent="0.2">
      <c r="A225" s="1"/>
      <c r="B225" s="25"/>
      <c r="C225" s="21" t="s">
        <v>94</v>
      </c>
      <c r="D225" s="21" t="s">
        <v>99</v>
      </c>
      <c r="E225" s="51" t="s">
        <v>353</v>
      </c>
      <c r="F225" s="82"/>
      <c r="G225" s="98" t="s">
        <v>350</v>
      </c>
      <c r="H225" s="41">
        <f>H226</f>
        <v>394.6</v>
      </c>
      <c r="I225" s="41">
        <f>I226</f>
        <v>410.4</v>
      </c>
      <c r="J225" s="41">
        <f>J226</f>
        <v>426.8</v>
      </c>
    </row>
    <row r="226" spans="1:10" ht="38.25" x14ac:dyDescent="0.2">
      <c r="A226" s="1"/>
      <c r="B226" s="25"/>
      <c r="C226" s="21" t="s">
        <v>94</v>
      </c>
      <c r="D226" s="21" t="s">
        <v>99</v>
      </c>
      <c r="E226" s="51" t="s">
        <v>353</v>
      </c>
      <c r="F226" s="82" t="s">
        <v>211</v>
      </c>
      <c r="G226" s="98" t="s">
        <v>212</v>
      </c>
      <c r="H226" s="39">
        <v>394.6</v>
      </c>
      <c r="I226" s="39">
        <v>410.4</v>
      </c>
      <c r="J226" s="39">
        <v>426.8</v>
      </c>
    </row>
    <row r="227" spans="1:10" ht="54.75" customHeight="1" x14ac:dyDescent="0.2">
      <c r="A227" s="1"/>
      <c r="B227" s="25"/>
      <c r="C227" s="21" t="s">
        <v>94</v>
      </c>
      <c r="D227" s="21" t="s">
        <v>99</v>
      </c>
      <c r="E227" s="51" t="s">
        <v>354</v>
      </c>
      <c r="F227" s="82"/>
      <c r="G227" s="98" t="s">
        <v>348</v>
      </c>
      <c r="H227" s="41">
        <f>H228</f>
        <v>3551.3</v>
      </c>
      <c r="I227" s="41">
        <f>I228</f>
        <v>3693.3</v>
      </c>
      <c r="J227" s="41">
        <f>J228</f>
        <v>3841</v>
      </c>
    </row>
    <row r="228" spans="1:10" ht="38.25" x14ac:dyDescent="0.2">
      <c r="A228" s="1"/>
      <c r="B228" s="25"/>
      <c r="C228" s="21" t="s">
        <v>94</v>
      </c>
      <c r="D228" s="21" t="s">
        <v>99</v>
      </c>
      <c r="E228" s="51" t="s">
        <v>354</v>
      </c>
      <c r="F228" s="82" t="s">
        <v>211</v>
      </c>
      <c r="G228" s="98" t="s">
        <v>212</v>
      </c>
      <c r="H228" s="41">
        <v>3551.3</v>
      </c>
      <c r="I228" s="41">
        <v>3693.3</v>
      </c>
      <c r="J228" s="41">
        <v>3841</v>
      </c>
    </row>
    <row r="229" spans="1:10" ht="25.5" x14ac:dyDescent="0.2">
      <c r="A229" s="1"/>
      <c r="B229" s="25"/>
      <c r="C229" s="30" t="s">
        <v>94</v>
      </c>
      <c r="D229" s="30" t="s">
        <v>122</v>
      </c>
      <c r="E229" s="30"/>
      <c r="F229" s="30"/>
      <c r="G229" s="46" t="s">
        <v>4</v>
      </c>
      <c r="H229" s="40">
        <f>H230+H238+H258</f>
        <v>1692</v>
      </c>
      <c r="I229" s="40">
        <f>I230+I238+I258</f>
        <v>1406.2</v>
      </c>
      <c r="J229" s="40">
        <f>J230+J238+J258</f>
        <v>1406.2</v>
      </c>
    </row>
    <row r="230" spans="1:10" ht="89.25" x14ac:dyDescent="0.2">
      <c r="A230" s="1"/>
      <c r="B230" s="25"/>
      <c r="C230" s="16" t="s">
        <v>94</v>
      </c>
      <c r="D230" s="16" t="s">
        <v>122</v>
      </c>
      <c r="E230" s="73" t="s">
        <v>69</v>
      </c>
      <c r="F230" s="16"/>
      <c r="G230" s="142" t="s">
        <v>576</v>
      </c>
      <c r="H230" s="96">
        <f t="shared" ref="H230:J230" si="69">H231</f>
        <v>186</v>
      </c>
      <c r="I230" s="96">
        <f t="shared" si="69"/>
        <v>176.2</v>
      </c>
      <c r="J230" s="96">
        <f t="shared" si="69"/>
        <v>176.2</v>
      </c>
    </row>
    <row r="231" spans="1:10" ht="38.25" x14ac:dyDescent="0.2">
      <c r="A231" s="1"/>
      <c r="B231" s="25"/>
      <c r="C231" s="16" t="s">
        <v>94</v>
      </c>
      <c r="D231" s="16" t="s">
        <v>122</v>
      </c>
      <c r="E231" s="52" t="s">
        <v>163</v>
      </c>
      <c r="F231" s="16"/>
      <c r="G231" s="48" t="s">
        <v>162</v>
      </c>
      <c r="H231" s="93">
        <f>H232+H235</f>
        <v>186</v>
      </c>
      <c r="I231" s="93">
        <f t="shared" ref="I231:J231" si="70">I232+I235</f>
        <v>176.2</v>
      </c>
      <c r="J231" s="93">
        <f t="shared" si="70"/>
        <v>176.2</v>
      </c>
    </row>
    <row r="232" spans="1:10" ht="76.5" x14ac:dyDescent="0.2">
      <c r="A232" s="1"/>
      <c r="B232" s="25"/>
      <c r="C232" s="16" t="s">
        <v>94</v>
      </c>
      <c r="D232" s="16" t="s">
        <v>122</v>
      </c>
      <c r="E232" s="21" t="s">
        <v>246</v>
      </c>
      <c r="F232" s="16"/>
      <c r="G232" s="99" t="s">
        <v>309</v>
      </c>
      <c r="H232" s="41">
        <f t="shared" ref="H232:J233" si="71">H233</f>
        <v>150</v>
      </c>
      <c r="I232" s="41">
        <f t="shared" si="71"/>
        <v>140.19999999999999</v>
      </c>
      <c r="J232" s="41">
        <f t="shared" si="71"/>
        <v>140.19999999999999</v>
      </c>
    </row>
    <row r="233" spans="1:10" ht="51" x14ac:dyDescent="0.2">
      <c r="A233" s="1"/>
      <c r="B233" s="25"/>
      <c r="C233" s="16" t="s">
        <v>94</v>
      </c>
      <c r="D233" s="16" t="s">
        <v>122</v>
      </c>
      <c r="E233" s="21" t="s">
        <v>460</v>
      </c>
      <c r="F233" s="30"/>
      <c r="G233" s="97" t="s">
        <v>164</v>
      </c>
      <c r="H233" s="41">
        <f t="shared" si="71"/>
        <v>150</v>
      </c>
      <c r="I233" s="41">
        <f t="shared" si="71"/>
        <v>140.19999999999999</v>
      </c>
      <c r="J233" s="41">
        <f t="shared" si="71"/>
        <v>140.19999999999999</v>
      </c>
    </row>
    <row r="234" spans="1:10" ht="38.25" x14ac:dyDescent="0.2">
      <c r="A234" s="1"/>
      <c r="B234" s="25"/>
      <c r="C234" s="16" t="s">
        <v>94</v>
      </c>
      <c r="D234" s="16" t="s">
        <v>122</v>
      </c>
      <c r="E234" s="21" t="s">
        <v>460</v>
      </c>
      <c r="F234" s="82" t="s">
        <v>211</v>
      </c>
      <c r="G234" s="98" t="s">
        <v>212</v>
      </c>
      <c r="H234" s="39">
        <v>150</v>
      </c>
      <c r="I234" s="39">
        <v>140.19999999999999</v>
      </c>
      <c r="J234" s="39">
        <v>140.19999999999999</v>
      </c>
    </row>
    <row r="235" spans="1:10" ht="25.5" x14ac:dyDescent="0.2">
      <c r="A235" s="1"/>
      <c r="B235" s="25"/>
      <c r="C235" s="16" t="s">
        <v>94</v>
      </c>
      <c r="D235" s="16" t="s">
        <v>122</v>
      </c>
      <c r="E235" s="21" t="s">
        <v>340</v>
      </c>
      <c r="F235" s="82"/>
      <c r="G235" s="99" t="s">
        <v>336</v>
      </c>
      <c r="H235" s="41">
        <f>H236</f>
        <v>36</v>
      </c>
      <c r="I235" s="41">
        <f t="shared" ref="I235:J235" si="72">I236</f>
        <v>36</v>
      </c>
      <c r="J235" s="41">
        <f t="shared" si="72"/>
        <v>36</v>
      </c>
    </row>
    <row r="236" spans="1:10" ht="38.25" x14ac:dyDescent="0.2">
      <c r="A236" s="1"/>
      <c r="B236" s="25"/>
      <c r="C236" s="16" t="s">
        <v>94</v>
      </c>
      <c r="D236" s="16" t="s">
        <v>122</v>
      </c>
      <c r="E236" s="82" t="s">
        <v>461</v>
      </c>
      <c r="F236" s="30"/>
      <c r="G236" s="97" t="s">
        <v>167</v>
      </c>
      <c r="H236" s="41">
        <f>H237</f>
        <v>36</v>
      </c>
      <c r="I236" s="41">
        <f t="shared" ref="I236:J236" si="73">I237</f>
        <v>36</v>
      </c>
      <c r="J236" s="41">
        <f t="shared" si="73"/>
        <v>36</v>
      </c>
    </row>
    <row r="237" spans="1:10" ht="38.25" x14ac:dyDescent="0.2">
      <c r="A237" s="1"/>
      <c r="B237" s="25"/>
      <c r="C237" s="16" t="s">
        <v>94</v>
      </c>
      <c r="D237" s="16" t="s">
        <v>122</v>
      </c>
      <c r="E237" s="82" t="s">
        <v>461</v>
      </c>
      <c r="F237" s="82" t="s">
        <v>211</v>
      </c>
      <c r="G237" s="98" t="s">
        <v>212</v>
      </c>
      <c r="H237" s="41">
        <v>36</v>
      </c>
      <c r="I237" s="41">
        <v>36</v>
      </c>
      <c r="J237" s="41">
        <v>36</v>
      </c>
    </row>
    <row r="238" spans="1:10" ht="89.25" x14ac:dyDescent="0.2">
      <c r="A238" s="1"/>
      <c r="B238" s="25"/>
      <c r="C238" s="5" t="s">
        <v>94</v>
      </c>
      <c r="D238" s="5" t="s">
        <v>122</v>
      </c>
      <c r="E238" s="76">
        <v>400000000</v>
      </c>
      <c r="F238" s="16"/>
      <c r="G238" s="141" t="s">
        <v>575</v>
      </c>
      <c r="H238" s="96">
        <f t="shared" ref="H238:J238" si="74">H239</f>
        <v>1266</v>
      </c>
      <c r="I238" s="96">
        <f t="shared" si="74"/>
        <v>930</v>
      </c>
      <c r="J238" s="96">
        <f t="shared" si="74"/>
        <v>930</v>
      </c>
    </row>
    <row r="239" spans="1:10" ht="52.5" customHeight="1" x14ac:dyDescent="0.2">
      <c r="A239" s="1"/>
      <c r="B239" s="25"/>
      <c r="C239" s="47" t="s">
        <v>94</v>
      </c>
      <c r="D239" s="47" t="s">
        <v>122</v>
      </c>
      <c r="E239" s="75">
        <v>410000000</v>
      </c>
      <c r="F239" s="30"/>
      <c r="G239" s="46" t="s">
        <v>462</v>
      </c>
      <c r="H239" s="93">
        <f>H240+H247</f>
        <v>1266</v>
      </c>
      <c r="I239" s="93">
        <f>I240+I247</f>
        <v>930</v>
      </c>
      <c r="J239" s="93">
        <f>J240+J247</f>
        <v>930</v>
      </c>
    </row>
    <row r="240" spans="1:10" ht="51" x14ac:dyDescent="0.2">
      <c r="A240" s="1"/>
      <c r="B240" s="25"/>
      <c r="C240" s="16" t="s">
        <v>94</v>
      </c>
      <c r="D240" s="16" t="s">
        <v>122</v>
      </c>
      <c r="E240" s="74">
        <v>410200000</v>
      </c>
      <c r="F240" s="30"/>
      <c r="G240" s="97" t="s">
        <v>467</v>
      </c>
      <c r="H240" s="39">
        <f>H241+H243+H245</f>
        <v>130</v>
      </c>
      <c r="I240" s="39">
        <f t="shared" ref="I240:J240" si="75">I241+I243+I245</f>
        <v>130</v>
      </c>
      <c r="J240" s="39">
        <f t="shared" si="75"/>
        <v>130</v>
      </c>
    </row>
    <row r="241" spans="1:10" ht="76.5" x14ac:dyDescent="0.2">
      <c r="A241" s="1"/>
      <c r="B241" s="25"/>
      <c r="C241" s="16" t="s">
        <v>94</v>
      </c>
      <c r="D241" s="16" t="s">
        <v>122</v>
      </c>
      <c r="E241" s="135" t="s">
        <v>624</v>
      </c>
      <c r="F241" s="82"/>
      <c r="G241" s="98" t="s">
        <v>592</v>
      </c>
      <c r="H241" s="39">
        <f t="shared" ref="H241:J241" si="76">H242</f>
        <v>50</v>
      </c>
      <c r="I241" s="39">
        <f t="shared" si="76"/>
        <v>50</v>
      </c>
      <c r="J241" s="39">
        <f t="shared" si="76"/>
        <v>50</v>
      </c>
    </row>
    <row r="242" spans="1:10" ht="38.25" x14ac:dyDescent="0.2">
      <c r="A242" s="1"/>
      <c r="B242" s="25"/>
      <c r="C242" s="16" t="s">
        <v>94</v>
      </c>
      <c r="D242" s="16" t="s">
        <v>122</v>
      </c>
      <c r="E242" s="135" t="s">
        <v>624</v>
      </c>
      <c r="F242" s="82" t="s">
        <v>211</v>
      </c>
      <c r="G242" s="98" t="s">
        <v>212</v>
      </c>
      <c r="H242" s="39">
        <v>50</v>
      </c>
      <c r="I242" s="39">
        <v>50</v>
      </c>
      <c r="J242" s="39">
        <v>50</v>
      </c>
    </row>
    <row r="243" spans="1:10" ht="25.5" x14ac:dyDescent="0.2">
      <c r="A243" s="1"/>
      <c r="B243" s="25"/>
      <c r="C243" s="16" t="s">
        <v>94</v>
      </c>
      <c r="D243" s="16" t="s">
        <v>122</v>
      </c>
      <c r="E243" s="135" t="s">
        <v>623</v>
      </c>
      <c r="F243" s="82"/>
      <c r="G243" s="98" t="s">
        <v>465</v>
      </c>
      <c r="H243" s="39">
        <f>H244</f>
        <v>30</v>
      </c>
      <c r="I243" s="39">
        <f>I244</f>
        <v>30</v>
      </c>
      <c r="J243" s="39">
        <f>J244</f>
        <v>30</v>
      </c>
    </row>
    <row r="244" spans="1:10" ht="38.25" x14ac:dyDescent="0.2">
      <c r="A244" s="1"/>
      <c r="B244" s="25"/>
      <c r="C244" s="16" t="s">
        <v>94</v>
      </c>
      <c r="D244" s="16" t="s">
        <v>122</v>
      </c>
      <c r="E244" s="135" t="s">
        <v>623</v>
      </c>
      <c r="F244" s="82" t="s">
        <v>211</v>
      </c>
      <c r="G244" s="98" t="s">
        <v>212</v>
      </c>
      <c r="H244" s="39">
        <v>30</v>
      </c>
      <c r="I244" s="39">
        <v>30</v>
      </c>
      <c r="J244" s="39">
        <v>30</v>
      </c>
    </row>
    <row r="245" spans="1:10" ht="38.25" x14ac:dyDescent="0.2">
      <c r="A245" s="1"/>
      <c r="B245" s="25"/>
      <c r="C245" s="16" t="s">
        <v>94</v>
      </c>
      <c r="D245" s="16" t="s">
        <v>122</v>
      </c>
      <c r="E245" s="135" t="s">
        <v>622</v>
      </c>
      <c r="F245" s="82"/>
      <c r="G245" s="98" t="s">
        <v>593</v>
      </c>
      <c r="H245" s="39">
        <f>H246</f>
        <v>50</v>
      </c>
      <c r="I245" s="39">
        <f t="shared" ref="I245:J245" si="77">I246</f>
        <v>50</v>
      </c>
      <c r="J245" s="39">
        <f t="shared" si="77"/>
        <v>50</v>
      </c>
    </row>
    <row r="246" spans="1:10" ht="38.25" x14ac:dyDescent="0.2">
      <c r="A246" s="1"/>
      <c r="B246" s="25"/>
      <c r="C246" s="16" t="s">
        <v>94</v>
      </c>
      <c r="D246" s="16" t="s">
        <v>122</v>
      </c>
      <c r="E246" s="135" t="s">
        <v>622</v>
      </c>
      <c r="F246" s="82" t="s">
        <v>211</v>
      </c>
      <c r="G246" s="98" t="s">
        <v>212</v>
      </c>
      <c r="H246" s="39">
        <v>50</v>
      </c>
      <c r="I246" s="39">
        <v>50</v>
      </c>
      <c r="J246" s="39">
        <v>50</v>
      </c>
    </row>
    <row r="247" spans="1:10" ht="51" x14ac:dyDescent="0.2">
      <c r="A247" s="1"/>
      <c r="B247" s="25"/>
      <c r="C247" s="16" t="s">
        <v>94</v>
      </c>
      <c r="D247" s="16" t="s">
        <v>122</v>
      </c>
      <c r="E247" s="135" t="s">
        <v>469</v>
      </c>
      <c r="F247" s="82"/>
      <c r="G247" s="97" t="s">
        <v>468</v>
      </c>
      <c r="H247" s="39">
        <f>H248+H250+H252+H254+H256</f>
        <v>1136</v>
      </c>
      <c r="I247" s="39">
        <f t="shared" ref="I247:J247" si="78">I248+I250+I252+I254+I256</f>
        <v>800</v>
      </c>
      <c r="J247" s="39">
        <f t="shared" si="78"/>
        <v>800</v>
      </c>
    </row>
    <row r="248" spans="1:10" ht="63.75" x14ac:dyDescent="0.2">
      <c r="A248" s="1"/>
      <c r="B248" s="25"/>
      <c r="C248" s="16" t="s">
        <v>94</v>
      </c>
      <c r="D248" s="16" t="s">
        <v>122</v>
      </c>
      <c r="E248" s="135" t="s">
        <v>625</v>
      </c>
      <c r="F248" s="82"/>
      <c r="G248" s="98" t="s">
        <v>594</v>
      </c>
      <c r="H248" s="39">
        <f>H249</f>
        <v>200</v>
      </c>
      <c r="I248" s="39">
        <f t="shared" ref="I248:J248" si="79">I249</f>
        <v>200</v>
      </c>
      <c r="J248" s="39">
        <f t="shared" si="79"/>
        <v>200</v>
      </c>
    </row>
    <row r="249" spans="1:10" ht="63.75" x14ac:dyDescent="0.2">
      <c r="A249" s="1"/>
      <c r="B249" s="25"/>
      <c r="C249" s="16" t="s">
        <v>94</v>
      </c>
      <c r="D249" s="16" t="s">
        <v>122</v>
      </c>
      <c r="E249" s="135" t="s">
        <v>625</v>
      </c>
      <c r="F249" s="16" t="s">
        <v>12</v>
      </c>
      <c r="G249" s="98" t="s">
        <v>365</v>
      </c>
      <c r="H249" s="39">
        <v>200</v>
      </c>
      <c r="I249" s="39">
        <v>200</v>
      </c>
      <c r="J249" s="39">
        <v>200</v>
      </c>
    </row>
    <row r="250" spans="1:10" ht="63.75" x14ac:dyDescent="0.2">
      <c r="A250" s="1"/>
      <c r="B250" s="25"/>
      <c r="C250" s="16" t="s">
        <v>94</v>
      </c>
      <c r="D250" s="16" t="s">
        <v>122</v>
      </c>
      <c r="E250" s="135" t="s">
        <v>626</v>
      </c>
      <c r="F250" s="82"/>
      <c r="G250" s="98" t="s">
        <v>470</v>
      </c>
      <c r="H250" s="39">
        <f>H251</f>
        <v>0</v>
      </c>
      <c r="I250" s="39">
        <f t="shared" ref="I250:J250" si="80">I251</f>
        <v>500</v>
      </c>
      <c r="J250" s="39">
        <f t="shared" si="80"/>
        <v>500</v>
      </c>
    </row>
    <row r="251" spans="1:10" ht="63.75" x14ac:dyDescent="0.2">
      <c r="A251" s="1"/>
      <c r="B251" s="25"/>
      <c r="C251" s="16" t="s">
        <v>94</v>
      </c>
      <c r="D251" s="16" t="s">
        <v>122</v>
      </c>
      <c r="E251" s="135" t="s">
        <v>626</v>
      </c>
      <c r="F251" s="16" t="s">
        <v>12</v>
      </c>
      <c r="G251" s="98" t="s">
        <v>365</v>
      </c>
      <c r="H251" s="39">
        <f>500-500</f>
        <v>0</v>
      </c>
      <c r="I251" s="39">
        <v>500</v>
      </c>
      <c r="J251" s="39">
        <v>500</v>
      </c>
    </row>
    <row r="252" spans="1:10" ht="104.25" customHeight="1" x14ac:dyDescent="0.2">
      <c r="A252" s="1"/>
      <c r="B252" s="25"/>
      <c r="C252" s="16" t="s">
        <v>94</v>
      </c>
      <c r="D252" s="16" t="s">
        <v>122</v>
      </c>
      <c r="E252" s="135" t="s">
        <v>627</v>
      </c>
      <c r="F252" s="82"/>
      <c r="G252" s="98" t="s">
        <v>471</v>
      </c>
      <c r="H252" s="39">
        <f>H253</f>
        <v>80</v>
      </c>
      <c r="I252" s="39">
        <f t="shared" ref="I252:J252" si="81">I253</f>
        <v>100</v>
      </c>
      <c r="J252" s="39">
        <f t="shared" si="81"/>
        <v>100</v>
      </c>
    </row>
    <row r="253" spans="1:10" ht="63.75" x14ac:dyDescent="0.2">
      <c r="A253" s="1"/>
      <c r="B253" s="25"/>
      <c r="C253" s="16" t="s">
        <v>94</v>
      </c>
      <c r="D253" s="16" t="s">
        <v>122</v>
      </c>
      <c r="E253" s="135" t="s">
        <v>627</v>
      </c>
      <c r="F253" s="16" t="s">
        <v>12</v>
      </c>
      <c r="G253" s="98" t="s">
        <v>365</v>
      </c>
      <c r="H253" s="39">
        <v>80</v>
      </c>
      <c r="I253" s="39">
        <v>100</v>
      </c>
      <c r="J253" s="39">
        <v>100</v>
      </c>
    </row>
    <row r="254" spans="1:10" ht="95.25" customHeight="1" x14ac:dyDescent="0.2">
      <c r="A254" s="1"/>
      <c r="B254" s="25"/>
      <c r="C254" s="16" t="s">
        <v>94</v>
      </c>
      <c r="D254" s="16" t="s">
        <v>122</v>
      </c>
      <c r="E254" s="135" t="s">
        <v>628</v>
      </c>
      <c r="F254" s="16"/>
      <c r="G254" s="98" t="s">
        <v>595</v>
      </c>
      <c r="H254" s="39">
        <f>H255</f>
        <v>356</v>
      </c>
      <c r="I254" s="39">
        <f t="shared" ref="I254:J254" si="82">I255</f>
        <v>0</v>
      </c>
      <c r="J254" s="39">
        <f t="shared" si="82"/>
        <v>0</v>
      </c>
    </row>
    <row r="255" spans="1:10" ht="63.75" x14ac:dyDescent="0.2">
      <c r="A255" s="1"/>
      <c r="B255" s="25"/>
      <c r="C255" s="16" t="s">
        <v>94</v>
      </c>
      <c r="D255" s="16" t="s">
        <v>122</v>
      </c>
      <c r="E255" s="135" t="s">
        <v>628</v>
      </c>
      <c r="F255" s="16" t="s">
        <v>12</v>
      </c>
      <c r="G255" s="98" t="s">
        <v>365</v>
      </c>
      <c r="H255" s="39">
        <v>356</v>
      </c>
      <c r="I255" s="39">
        <v>0</v>
      </c>
      <c r="J255" s="39">
        <v>0</v>
      </c>
    </row>
    <row r="256" spans="1:10" ht="100.5" customHeight="1" x14ac:dyDescent="0.2">
      <c r="A256" s="1"/>
      <c r="B256" s="25"/>
      <c r="C256" s="16" t="s">
        <v>94</v>
      </c>
      <c r="D256" s="16" t="s">
        <v>122</v>
      </c>
      <c r="E256" s="135" t="s">
        <v>666</v>
      </c>
      <c r="F256" s="16"/>
      <c r="G256" s="98" t="s">
        <v>667</v>
      </c>
      <c r="H256" s="39">
        <f>H257</f>
        <v>500</v>
      </c>
      <c r="I256" s="39">
        <f t="shared" ref="I256:J256" si="83">I257</f>
        <v>0</v>
      </c>
      <c r="J256" s="39">
        <f t="shared" si="83"/>
        <v>0</v>
      </c>
    </row>
    <row r="257" spans="1:10" ht="63.75" x14ac:dyDescent="0.2">
      <c r="A257" s="1"/>
      <c r="B257" s="25"/>
      <c r="C257" s="16" t="s">
        <v>94</v>
      </c>
      <c r="D257" s="16" t="s">
        <v>122</v>
      </c>
      <c r="E257" s="135" t="s">
        <v>666</v>
      </c>
      <c r="F257" s="16" t="s">
        <v>12</v>
      </c>
      <c r="G257" s="98" t="s">
        <v>365</v>
      </c>
      <c r="H257" s="39">
        <f>1000-500</f>
        <v>500</v>
      </c>
      <c r="I257" s="39">
        <v>0</v>
      </c>
      <c r="J257" s="39">
        <v>0</v>
      </c>
    </row>
    <row r="258" spans="1:10" ht="76.5" x14ac:dyDescent="0.2">
      <c r="A258" s="1"/>
      <c r="B258" s="25"/>
      <c r="C258" s="5" t="s">
        <v>94</v>
      </c>
      <c r="D258" s="5" t="s">
        <v>122</v>
      </c>
      <c r="E258" s="73" t="s">
        <v>146</v>
      </c>
      <c r="F258" s="16"/>
      <c r="G258" s="63" t="s">
        <v>580</v>
      </c>
      <c r="H258" s="96">
        <f t="shared" ref="H258:J258" si="84">H259</f>
        <v>240</v>
      </c>
      <c r="I258" s="96">
        <f t="shared" si="84"/>
        <v>300</v>
      </c>
      <c r="J258" s="96">
        <f t="shared" si="84"/>
        <v>300</v>
      </c>
    </row>
    <row r="259" spans="1:10" ht="63.75" x14ac:dyDescent="0.2">
      <c r="A259" s="1"/>
      <c r="B259" s="25"/>
      <c r="C259" s="47" t="s">
        <v>94</v>
      </c>
      <c r="D259" s="47" t="s">
        <v>122</v>
      </c>
      <c r="E259" s="52" t="s">
        <v>147</v>
      </c>
      <c r="F259" s="16"/>
      <c r="G259" s="48" t="s">
        <v>505</v>
      </c>
      <c r="H259" s="93">
        <f>H260</f>
        <v>240</v>
      </c>
      <c r="I259" s="93">
        <f>I260</f>
        <v>300</v>
      </c>
      <c r="J259" s="93">
        <f>J260</f>
        <v>300</v>
      </c>
    </row>
    <row r="260" spans="1:10" ht="89.25" x14ac:dyDescent="0.2">
      <c r="A260" s="1"/>
      <c r="B260" s="25"/>
      <c r="C260" s="16" t="s">
        <v>94</v>
      </c>
      <c r="D260" s="16" t="s">
        <v>122</v>
      </c>
      <c r="E260" s="21" t="s">
        <v>210</v>
      </c>
      <c r="F260" s="16"/>
      <c r="G260" s="99" t="s">
        <v>506</v>
      </c>
      <c r="H260" s="39">
        <f>H261+H263+H265</f>
        <v>240</v>
      </c>
      <c r="I260" s="39">
        <f t="shared" ref="I260:J260" si="85">I261+I263+I265</f>
        <v>300</v>
      </c>
      <c r="J260" s="39">
        <f t="shared" si="85"/>
        <v>300</v>
      </c>
    </row>
    <row r="261" spans="1:10" ht="51" x14ac:dyDescent="0.2">
      <c r="A261" s="1"/>
      <c r="B261" s="25"/>
      <c r="C261" s="16" t="s">
        <v>94</v>
      </c>
      <c r="D261" s="16" t="s">
        <v>122</v>
      </c>
      <c r="E261" s="137" t="s">
        <v>507</v>
      </c>
      <c r="F261" s="16"/>
      <c r="G261" s="99" t="s">
        <v>544</v>
      </c>
      <c r="H261" s="39">
        <f>H262</f>
        <v>0</v>
      </c>
      <c r="I261" s="39">
        <f>I262</f>
        <v>300</v>
      </c>
      <c r="J261" s="39">
        <f>J262</f>
        <v>300</v>
      </c>
    </row>
    <row r="262" spans="1:10" ht="38.25" x14ac:dyDescent="0.2">
      <c r="A262" s="1"/>
      <c r="B262" s="25"/>
      <c r="C262" s="16" t="s">
        <v>94</v>
      </c>
      <c r="D262" s="16" t="s">
        <v>122</v>
      </c>
      <c r="E262" s="137" t="s">
        <v>507</v>
      </c>
      <c r="F262" s="82" t="s">
        <v>211</v>
      </c>
      <c r="G262" s="98" t="s">
        <v>212</v>
      </c>
      <c r="H262" s="39"/>
      <c r="I262" s="39">
        <v>300</v>
      </c>
      <c r="J262" s="39">
        <v>300</v>
      </c>
    </row>
    <row r="263" spans="1:10" ht="78" customHeight="1" x14ac:dyDescent="0.2">
      <c r="A263" s="1"/>
      <c r="B263" s="25"/>
      <c r="C263" s="16" t="s">
        <v>94</v>
      </c>
      <c r="D263" s="16" t="s">
        <v>122</v>
      </c>
      <c r="E263" s="74">
        <v>810123102</v>
      </c>
      <c r="F263" s="16"/>
      <c r="G263" s="99" t="s">
        <v>508</v>
      </c>
      <c r="H263" s="39">
        <f>H264</f>
        <v>120</v>
      </c>
      <c r="I263" s="39">
        <f>I264</f>
        <v>0</v>
      </c>
      <c r="J263" s="39">
        <f>J264</f>
        <v>0</v>
      </c>
    </row>
    <row r="264" spans="1:10" ht="38.25" x14ac:dyDescent="0.2">
      <c r="A264" s="1"/>
      <c r="B264" s="25"/>
      <c r="C264" s="16" t="s">
        <v>94</v>
      </c>
      <c r="D264" s="16" t="s">
        <v>122</v>
      </c>
      <c r="E264" s="74">
        <v>810123102</v>
      </c>
      <c r="F264" s="82" t="s">
        <v>211</v>
      </c>
      <c r="G264" s="98" t="s">
        <v>212</v>
      </c>
      <c r="H264" s="39">
        <f>100+20</f>
        <v>120</v>
      </c>
      <c r="I264" s="39">
        <v>0</v>
      </c>
      <c r="J264" s="39">
        <v>0</v>
      </c>
    </row>
    <row r="265" spans="1:10" ht="89.25" x14ac:dyDescent="0.2">
      <c r="A265" s="1"/>
      <c r="B265" s="25"/>
      <c r="C265" s="16" t="s">
        <v>94</v>
      </c>
      <c r="D265" s="16" t="s">
        <v>122</v>
      </c>
      <c r="E265" s="74">
        <v>810123103</v>
      </c>
      <c r="F265" s="82"/>
      <c r="G265" s="98" t="s">
        <v>663</v>
      </c>
      <c r="H265" s="39">
        <f>H266</f>
        <v>120</v>
      </c>
      <c r="I265" s="39">
        <f t="shared" ref="I265:J265" si="86">I266</f>
        <v>0</v>
      </c>
      <c r="J265" s="39">
        <f t="shared" si="86"/>
        <v>0</v>
      </c>
    </row>
    <row r="266" spans="1:10" ht="38.25" x14ac:dyDescent="0.2">
      <c r="A266" s="1"/>
      <c r="B266" s="25"/>
      <c r="C266" s="16" t="s">
        <v>94</v>
      </c>
      <c r="D266" s="16" t="s">
        <v>122</v>
      </c>
      <c r="E266" s="74">
        <v>810123103</v>
      </c>
      <c r="F266" s="82" t="s">
        <v>211</v>
      </c>
      <c r="G266" s="98" t="s">
        <v>212</v>
      </c>
      <c r="H266" s="39">
        <f>100+20</f>
        <v>120</v>
      </c>
      <c r="I266" s="39">
        <v>0</v>
      </c>
      <c r="J266" s="39">
        <v>0</v>
      </c>
    </row>
    <row r="267" spans="1:10" ht="30" x14ac:dyDescent="0.25">
      <c r="A267" s="1"/>
      <c r="B267" s="25"/>
      <c r="C267" s="4" t="s">
        <v>95</v>
      </c>
      <c r="D267" s="3"/>
      <c r="E267" s="3"/>
      <c r="F267" s="3"/>
      <c r="G267" s="49" t="s">
        <v>47</v>
      </c>
      <c r="H267" s="92">
        <f>H268+H304+H352+H432</f>
        <v>312027.20000000007</v>
      </c>
      <c r="I267" s="92">
        <f>I268+I304+I352+I432</f>
        <v>52075.799999999996</v>
      </c>
      <c r="J267" s="92">
        <f>J268+J304+J352+J432</f>
        <v>47947</v>
      </c>
    </row>
    <row r="268" spans="1:10" ht="14.25" x14ac:dyDescent="0.2">
      <c r="A268" s="1"/>
      <c r="B268" s="25"/>
      <c r="C268" s="30" t="s">
        <v>95</v>
      </c>
      <c r="D268" s="30" t="s">
        <v>88</v>
      </c>
      <c r="E268" s="30"/>
      <c r="F268" s="30"/>
      <c r="G268" s="27" t="s">
        <v>42</v>
      </c>
      <c r="H268" s="40">
        <f>H269+H300</f>
        <v>4557.9000000000005</v>
      </c>
      <c r="I268" s="40">
        <f t="shared" ref="I268:J268" si="87">I269</f>
        <v>5761.3</v>
      </c>
      <c r="J268" s="40">
        <f t="shared" si="87"/>
        <v>2611.3000000000002</v>
      </c>
    </row>
    <row r="269" spans="1:10" ht="76.5" x14ac:dyDescent="0.2">
      <c r="A269" s="1"/>
      <c r="B269" s="25"/>
      <c r="C269" s="5" t="s">
        <v>95</v>
      </c>
      <c r="D269" s="5" t="s">
        <v>88</v>
      </c>
      <c r="E269" s="73" t="s">
        <v>154</v>
      </c>
      <c r="F269" s="16"/>
      <c r="G269" s="141" t="s">
        <v>574</v>
      </c>
      <c r="H269" s="96">
        <f>H270+H278+H293</f>
        <v>4539.3</v>
      </c>
      <c r="I269" s="96">
        <f>I270+I278+I293</f>
        <v>5761.3</v>
      </c>
      <c r="J269" s="96">
        <f>J270+J278+J293</f>
        <v>2611.3000000000002</v>
      </c>
    </row>
    <row r="270" spans="1:10" ht="38.25" x14ac:dyDescent="0.2">
      <c r="A270" s="1"/>
      <c r="B270" s="25"/>
      <c r="C270" s="47" t="s">
        <v>95</v>
      </c>
      <c r="D270" s="47" t="s">
        <v>88</v>
      </c>
      <c r="E270" s="52" t="s">
        <v>150</v>
      </c>
      <c r="F270" s="16"/>
      <c r="G270" s="48" t="s">
        <v>297</v>
      </c>
      <c r="H270" s="93">
        <f>H271+H275</f>
        <v>1347.3</v>
      </c>
      <c r="I270" s="93">
        <f>I271+I275</f>
        <v>950</v>
      </c>
      <c r="J270" s="93">
        <f>J271+J275</f>
        <v>950</v>
      </c>
    </row>
    <row r="271" spans="1:10" ht="38.25" x14ac:dyDescent="0.2">
      <c r="A271" s="1"/>
      <c r="B271" s="25"/>
      <c r="C271" s="82" t="s">
        <v>95</v>
      </c>
      <c r="D271" s="82" t="s">
        <v>88</v>
      </c>
      <c r="E271" s="21" t="s">
        <v>262</v>
      </c>
      <c r="F271" s="16"/>
      <c r="G271" s="99" t="s">
        <v>264</v>
      </c>
      <c r="H271" s="93">
        <f>H272</f>
        <v>1123.8</v>
      </c>
      <c r="I271" s="93">
        <f>I272</f>
        <v>150</v>
      </c>
      <c r="J271" s="93">
        <f>J272</f>
        <v>150</v>
      </c>
    </row>
    <row r="272" spans="1:10" ht="51" x14ac:dyDescent="0.25">
      <c r="A272" s="1"/>
      <c r="B272" s="25"/>
      <c r="C272" s="16" t="s">
        <v>95</v>
      </c>
      <c r="D272" s="16" t="s">
        <v>88</v>
      </c>
      <c r="E272" s="136" t="s">
        <v>480</v>
      </c>
      <c r="F272" s="3"/>
      <c r="G272" s="98" t="s">
        <v>263</v>
      </c>
      <c r="H272" s="41">
        <f>SUM(H273:H274)</f>
        <v>1123.8</v>
      </c>
      <c r="I272" s="41">
        <f t="shared" ref="I272:J272" si="88">SUM(I273:I274)</f>
        <v>150</v>
      </c>
      <c r="J272" s="41">
        <f t="shared" si="88"/>
        <v>150</v>
      </c>
    </row>
    <row r="273" spans="1:10" ht="38.25" x14ac:dyDescent="0.2">
      <c r="A273" s="1"/>
      <c r="B273" s="25"/>
      <c r="C273" s="16" t="s">
        <v>95</v>
      </c>
      <c r="D273" s="16" t="s">
        <v>88</v>
      </c>
      <c r="E273" s="136" t="s">
        <v>480</v>
      </c>
      <c r="F273" s="82" t="s">
        <v>211</v>
      </c>
      <c r="G273" s="98" t="s">
        <v>212</v>
      </c>
      <c r="H273" s="41">
        <f>1378.5-59.3-0.2-195.4</f>
        <v>1123.5999999999999</v>
      </c>
      <c r="I273" s="41">
        <v>150</v>
      </c>
      <c r="J273" s="41">
        <v>150</v>
      </c>
    </row>
    <row r="274" spans="1:10" x14ac:dyDescent="0.2">
      <c r="A274" s="1"/>
      <c r="B274" s="25"/>
      <c r="C274" s="16" t="s">
        <v>95</v>
      </c>
      <c r="D274" s="16" t="s">
        <v>88</v>
      </c>
      <c r="E274" s="136" t="s">
        <v>480</v>
      </c>
      <c r="F274" s="82" t="s">
        <v>748</v>
      </c>
      <c r="G274" s="173" t="s">
        <v>749</v>
      </c>
      <c r="H274" s="41">
        <v>0.2</v>
      </c>
      <c r="I274" s="41">
        <v>0</v>
      </c>
      <c r="J274" s="41">
        <v>0</v>
      </c>
    </row>
    <row r="275" spans="1:10" ht="38.25" x14ac:dyDescent="0.2">
      <c r="A275" s="1"/>
      <c r="B275" s="25"/>
      <c r="C275" s="16" t="s">
        <v>95</v>
      </c>
      <c r="D275" s="16" t="s">
        <v>88</v>
      </c>
      <c r="E275" s="21" t="s">
        <v>298</v>
      </c>
      <c r="F275" s="16"/>
      <c r="G275" s="99" t="s">
        <v>265</v>
      </c>
      <c r="H275" s="93">
        <f t="shared" ref="H275:J275" si="89">H276</f>
        <v>223.5</v>
      </c>
      <c r="I275" s="93">
        <f t="shared" si="89"/>
        <v>800</v>
      </c>
      <c r="J275" s="93">
        <f t="shared" si="89"/>
        <v>800</v>
      </c>
    </row>
    <row r="276" spans="1:10" ht="25.5" x14ac:dyDescent="0.25">
      <c r="A276" s="1"/>
      <c r="B276" s="25"/>
      <c r="C276" s="16" t="s">
        <v>95</v>
      </c>
      <c r="D276" s="16" t="s">
        <v>88</v>
      </c>
      <c r="E276" s="21" t="s">
        <v>481</v>
      </c>
      <c r="F276" s="3"/>
      <c r="G276" s="98" t="s">
        <v>335</v>
      </c>
      <c r="H276" s="41">
        <f>H277</f>
        <v>223.5</v>
      </c>
      <c r="I276" s="41">
        <f>I277</f>
        <v>800</v>
      </c>
      <c r="J276" s="41">
        <f>J277</f>
        <v>800</v>
      </c>
    </row>
    <row r="277" spans="1:10" ht="38.25" x14ac:dyDescent="0.2">
      <c r="A277" s="1"/>
      <c r="B277" s="25"/>
      <c r="C277" s="16" t="s">
        <v>95</v>
      </c>
      <c r="D277" s="16" t="s">
        <v>88</v>
      </c>
      <c r="E277" s="21" t="s">
        <v>481</v>
      </c>
      <c r="F277" s="82" t="s">
        <v>211</v>
      </c>
      <c r="G277" s="98" t="s">
        <v>212</v>
      </c>
      <c r="H277" s="39">
        <f>123.5+100</f>
        <v>223.5</v>
      </c>
      <c r="I277" s="39">
        <v>800</v>
      </c>
      <c r="J277" s="39">
        <v>800</v>
      </c>
    </row>
    <row r="278" spans="1:10" ht="38.25" x14ac:dyDescent="0.2">
      <c r="A278" s="1"/>
      <c r="B278" s="25"/>
      <c r="C278" s="47" t="s">
        <v>95</v>
      </c>
      <c r="D278" s="47" t="s">
        <v>88</v>
      </c>
      <c r="E278" s="52" t="s">
        <v>151</v>
      </c>
      <c r="F278" s="16"/>
      <c r="G278" s="48" t="s">
        <v>148</v>
      </c>
      <c r="H278" s="93">
        <f>H279+H286</f>
        <v>1207</v>
      </c>
      <c r="I278" s="93">
        <f t="shared" ref="I278:J278" si="90">I279+I286</f>
        <v>1510</v>
      </c>
      <c r="J278" s="93">
        <f t="shared" si="90"/>
        <v>200</v>
      </c>
    </row>
    <row r="279" spans="1:10" ht="25.5" x14ac:dyDescent="0.2">
      <c r="A279" s="1"/>
      <c r="B279" s="25"/>
      <c r="C279" s="16" t="s">
        <v>95</v>
      </c>
      <c r="D279" s="16" t="s">
        <v>88</v>
      </c>
      <c r="E279" s="21" t="s">
        <v>266</v>
      </c>
      <c r="F279" s="82"/>
      <c r="G279" s="99" t="s">
        <v>267</v>
      </c>
      <c r="H279" s="93">
        <f>H280+H282+H284</f>
        <v>101.7</v>
      </c>
      <c r="I279" s="93">
        <f t="shared" ref="I279:J279" si="91">I280+I282+I284</f>
        <v>290</v>
      </c>
      <c r="J279" s="93">
        <f t="shared" si="91"/>
        <v>200</v>
      </c>
    </row>
    <row r="280" spans="1:10" ht="132.75" customHeight="1" x14ac:dyDescent="0.25">
      <c r="A280" s="1"/>
      <c r="B280" s="25"/>
      <c r="C280" s="16" t="s">
        <v>95</v>
      </c>
      <c r="D280" s="16" t="s">
        <v>88</v>
      </c>
      <c r="E280" s="79">
        <v>520123261</v>
      </c>
      <c r="F280" s="3"/>
      <c r="G280" s="98" t="s">
        <v>268</v>
      </c>
      <c r="H280" s="41">
        <f>H281</f>
        <v>0</v>
      </c>
      <c r="I280" s="41">
        <f>I281</f>
        <v>100</v>
      </c>
      <c r="J280" s="41">
        <f>J281</f>
        <v>0</v>
      </c>
    </row>
    <row r="281" spans="1:10" ht="38.25" x14ac:dyDescent="0.2">
      <c r="A281" s="1"/>
      <c r="B281" s="25"/>
      <c r="C281" s="16" t="s">
        <v>95</v>
      </c>
      <c r="D281" s="16" t="s">
        <v>88</v>
      </c>
      <c r="E281" s="79">
        <v>520123261</v>
      </c>
      <c r="F281" s="82" t="s">
        <v>211</v>
      </c>
      <c r="G281" s="98" t="s">
        <v>212</v>
      </c>
      <c r="H281" s="41">
        <v>0</v>
      </c>
      <c r="I281" s="41">
        <v>100</v>
      </c>
      <c r="J281" s="41">
        <v>0</v>
      </c>
    </row>
    <row r="282" spans="1:10" ht="51" x14ac:dyDescent="0.2">
      <c r="A282" s="1"/>
      <c r="B282" s="25"/>
      <c r="C282" s="16" t="s">
        <v>95</v>
      </c>
      <c r="D282" s="16" t="s">
        <v>88</v>
      </c>
      <c r="E282" s="79">
        <v>520123262</v>
      </c>
      <c r="F282" s="16"/>
      <c r="G282" s="98" t="s">
        <v>299</v>
      </c>
      <c r="H282" s="41">
        <f>H283</f>
        <v>0</v>
      </c>
      <c r="I282" s="41">
        <f>I283</f>
        <v>20</v>
      </c>
      <c r="J282" s="41">
        <f>J283</f>
        <v>20</v>
      </c>
    </row>
    <row r="283" spans="1:10" ht="38.25" x14ac:dyDescent="0.2">
      <c r="A283" s="1"/>
      <c r="B283" s="25"/>
      <c r="C283" s="16" t="s">
        <v>95</v>
      </c>
      <c r="D283" s="16" t="s">
        <v>88</v>
      </c>
      <c r="E283" s="79">
        <v>520123262</v>
      </c>
      <c r="F283" s="82" t="s">
        <v>211</v>
      </c>
      <c r="G283" s="98" t="s">
        <v>212</v>
      </c>
      <c r="H283" s="41">
        <v>0</v>
      </c>
      <c r="I283" s="41">
        <v>20</v>
      </c>
      <c r="J283" s="41">
        <v>20</v>
      </c>
    </row>
    <row r="284" spans="1:10" ht="25.5" x14ac:dyDescent="0.2">
      <c r="A284" s="1"/>
      <c r="B284" s="25"/>
      <c r="C284" s="16" t="s">
        <v>95</v>
      </c>
      <c r="D284" s="16" t="s">
        <v>88</v>
      </c>
      <c r="E284" s="136" t="s">
        <v>482</v>
      </c>
      <c r="F284" s="82"/>
      <c r="G284" s="98" t="s">
        <v>483</v>
      </c>
      <c r="H284" s="41">
        <f>H285</f>
        <v>101.7</v>
      </c>
      <c r="I284" s="41">
        <f>I285</f>
        <v>170</v>
      </c>
      <c r="J284" s="41">
        <f>J285</f>
        <v>180</v>
      </c>
    </row>
    <row r="285" spans="1:10" ht="38.25" x14ac:dyDescent="0.2">
      <c r="A285" s="1"/>
      <c r="B285" s="25"/>
      <c r="C285" s="16" t="s">
        <v>95</v>
      </c>
      <c r="D285" s="16" t="s">
        <v>88</v>
      </c>
      <c r="E285" s="136" t="s">
        <v>482</v>
      </c>
      <c r="F285" s="82" t="s">
        <v>211</v>
      </c>
      <c r="G285" s="98" t="s">
        <v>212</v>
      </c>
      <c r="H285" s="41">
        <f>160-58.3</f>
        <v>101.7</v>
      </c>
      <c r="I285" s="41">
        <v>170</v>
      </c>
      <c r="J285" s="41">
        <v>180</v>
      </c>
    </row>
    <row r="286" spans="1:10" ht="25.5" x14ac:dyDescent="0.2">
      <c r="A286" s="1"/>
      <c r="B286" s="25"/>
      <c r="C286" s="16" t="s">
        <v>95</v>
      </c>
      <c r="D286" s="16" t="s">
        <v>88</v>
      </c>
      <c r="E286" s="21" t="s">
        <v>269</v>
      </c>
      <c r="F286" s="82"/>
      <c r="G286" s="99" t="s">
        <v>484</v>
      </c>
      <c r="H286" s="41">
        <f>H287+H289+H291</f>
        <v>1105.3</v>
      </c>
      <c r="I286" s="41">
        <f t="shared" ref="I286:J286" si="92">I287+I289+I291</f>
        <v>1220</v>
      </c>
      <c r="J286" s="41">
        <f t="shared" si="92"/>
        <v>0</v>
      </c>
    </row>
    <row r="287" spans="1:10" ht="51" x14ac:dyDescent="0.2">
      <c r="A287" s="1"/>
      <c r="B287" s="25"/>
      <c r="C287" s="16" t="s">
        <v>95</v>
      </c>
      <c r="D287" s="16" t="s">
        <v>88</v>
      </c>
      <c r="E287" s="79">
        <v>520223264</v>
      </c>
      <c r="F287" s="82"/>
      <c r="G287" s="98" t="s">
        <v>760</v>
      </c>
      <c r="H287" s="41">
        <f>H288</f>
        <v>905.3</v>
      </c>
      <c r="I287" s="41">
        <f t="shared" ref="I287:J287" si="93">I288</f>
        <v>0</v>
      </c>
      <c r="J287" s="41">
        <f t="shared" si="93"/>
        <v>0</v>
      </c>
    </row>
    <row r="288" spans="1:10" ht="25.5" x14ac:dyDescent="0.2">
      <c r="A288" s="1"/>
      <c r="B288" s="25"/>
      <c r="C288" s="16" t="s">
        <v>95</v>
      </c>
      <c r="D288" s="16" t="s">
        <v>88</v>
      </c>
      <c r="E288" s="79">
        <v>520223264</v>
      </c>
      <c r="F288" s="82" t="s">
        <v>131</v>
      </c>
      <c r="G288" s="98" t="s">
        <v>132</v>
      </c>
      <c r="H288" s="41">
        <v>905.3</v>
      </c>
      <c r="I288" s="41">
        <v>0</v>
      </c>
      <c r="J288" s="41">
        <v>0</v>
      </c>
    </row>
    <row r="289" spans="1:10" ht="63.75" x14ac:dyDescent="0.2">
      <c r="A289" s="1"/>
      <c r="B289" s="25"/>
      <c r="C289" s="16" t="s">
        <v>95</v>
      </c>
      <c r="D289" s="16" t="s">
        <v>88</v>
      </c>
      <c r="E289" s="79">
        <v>520223265</v>
      </c>
      <c r="F289" s="82"/>
      <c r="G289" s="98" t="s">
        <v>485</v>
      </c>
      <c r="H289" s="41">
        <f>H290</f>
        <v>0</v>
      </c>
      <c r="I289" s="41">
        <f>I290</f>
        <v>1220</v>
      </c>
      <c r="J289" s="41">
        <f>J290</f>
        <v>0</v>
      </c>
    </row>
    <row r="290" spans="1:10" x14ac:dyDescent="0.2">
      <c r="A290" s="1"/>
      <c r="B290" s="25"/>
      <c r="C290" s="16" t="s">
        <v>95</v>
      </c>
      <c r="D290" s="16" t="s">
        <v>88</v>
      </c>
      <c r="E290" s="79">
        <v>520223265</v>
      </c>
      <c r="F290" s="82" t="s">
        <v>248</v>
      </c>
      <c r="G290" s="99" t="s">
        <v>271</v>
      </c>
      <c r="H290" s="41">
        <f>2890-2890</f>
        <v>0</v>
      </c>
      <c r="I290" s="41">
        <v>1220</v>
      </c>
      <c r="J290" s="41">
        <v>0</v>
      </c>
    </row>
    <row r="291" spans="1:10" ht="38.25" x14ac:dyDescent="0.2">
      <c r="A291" s="1"/>
      <c r="B291" s="25"/>
      <c r="C291" s="16" t="s">
        <v>95</v>
      </c>
      <c r="D291" s="16" t="s">
        <v>88</v>
      </c>
      <c r="E291" s="21" t="s">
        <v>486</v>
      </c>
      <c r="F291" s="82"/>
      <c r="G291" s="99" t="s">
        <v>272</v>
      </c>
      <c r="H291" s="41">
        <f>H292</f>
        <v>200</v>
      </c>
      <c r="I291" s="41">
        <f>I292</f>
        <v>0</v>
      </c>
      <c r="J291" s="41">
        <f>J292</f>
        <v>0</v>
      </c>
    </row>
    <row r="292" spans="1:10" ht="38.25" x14ac:dyDescent="0.2">
      <c r="A292" s="1"/>
      <c r="B292" s="25"/>
      <c r="C292" s="16" t="s">
        <v>95</v>
      </c>
      <c r="D292" s="16" t="s">
        <v>88</v>
      </c>
      <c r="E292" s="21" t="s">
        <v>486</v>
      </c>
      <c r="F292" s="82" t="s">
        <v>211</v>
      </c>
      <c r="G292" s="98" t="s">
        <v>212</v>
      </c>
      <c r="H292" s="41">
        <v>200</v>
      </c>
      <c r="I292" s="39">
        <v>0</v>
      </c>
      <c r="J292" s="39">
        <v>0</v>
      </c>
    </row>
    <row r="293" spans="1:10" ht="63.75" x14ac:dyDescent="0.2">
      <c r="A293" s="1"/>
      <c r="B293" s="25"/>
      <c r="C293" s="16" t="s">
        <v>95</v>
      </c>
      <c r="D293" s="16" t="s">
        <v>88</v>
      </c>
      <c r="E293" s="52" t="s">
        <v>152</v>
      </c>
      <c r="F293" s="16"/>
      <c r="G293" s="48" t="s">
        <v>149</v>
      </c>
      <c r="H293" s="93">
        <f>H294+H297</f>
        <v>1985</v>
      </c>
      <c r="I293" s="93">
        <f>I294+I297</f>
        <v>3301.3</v>
      </c>
      <c r="J293" s="93">
        <f>J294+J297</f>
        <v>1461.3</v>
      </c>
    </row>
    <row r="294" spans="1:10" ht="76.5" x14ac:dyDescent="0.2">
      <c r="A294" s="1"/>
      <c r="B294" s="25"/>
      <c r="C294" s="16" t="s">
        <v>95</v>
      </c>
      <c r="D294" s="16" t="s">
        <v>88</v>
      </c>
      <c r="E294" s="21" t="s">
        <v>273</v>
      </c>
      <c r="F294" s="82"/>
      <c r="G294" s="99" t="s">
        <v>310</v>
      </c>
      <c r="H294" s="39">
        <f t="shared" ref="H294:J295" si="94">H295</f>
        <v>1985</v>
      </c>
      <c r="I294" s="39">
        <f t="shared" si="94"/>
        <v>1461.3</v>
      </c>
      <c r="J294" s="39">
        <f t="shared" si="94"/>
        <v>1461.3</v>
      </c>
    </row>
    <row r="295" spans="1:10" ht="68.25" customHeight="1" x14ac:dyDescent="0.2">
      <c r="A295" s="1"/>
      <c r="B295" s="25"/>
      <c r="C295" s="82" t="s">
        <v>95</v>
      </c>
      <c r="D295" s="82" t="s">
        <v>88</v>
      </c>
      <c r="E295" s="79">
        <v>530123271</v>
      </c>
      <c r="F295" s="16"/>
      <c r="G295" s="98" t="s">
        <v>153</v>
      </c>
      <c r="H295" s="41">
        <f t="shared" si="94"/>
        <v>1985</v>
      </c>
      <c r="I295" s="41">
        <f t="shared" si="94"/>
        <v>1461.3</v>
      </c>
      <c r="J295" s="41">
        <f t="shared" si="94"/>
        <v>1461.3</v>
      </c>
    </row>
    <row r="296" spans="1:10" ht="38.25" x14ac:dyDescent="0.2">
      <c r="A296" s="1"/>
      <c r="B296" s="25"/>
      <c r="C296" s="16" t="s">
        <v>95</v>
      </c>
      <c r="D296" s="16" t="s">
        <v>88</v>
      </c>
      <c r="E296" s="79">
        <v>530123271</v>
      </c>
      <c r="F296" s="82" t="s">
        <v>211</v>
      </c>
      <c r="G296" s="98" t="s">
        <v>212</v>
      </c>
      <c r="H296" s="147">
        <f>961.3+456.1+59.3+253.7+104.6+150</f>
        <v>1985</v>
      </c>
      <c r="I296" s="1">
        <v>1461.3</v>
      </c>
      <c r="J296" s="1">
        <v>1461.3</v>
      </c>
    </row>
    <row r="297" spans="1:10" ht="51" x14ac:dyDescent="0.2">
      <c r="A297" s="1"/>
      <c r="B297" s="25"/>
      <c r="C297" s="16" t="s">
        <v>95</v>
      </c>
      <c r="D297" s="16" t="s">
        <v>88</v>
      </c>
      <c r="E297" s="21" t="s">
        <v>274</v>
      </c>
      <c r="F297" s="16"/>
      <c r="G297" s="99" t="s">
        <v>487</v>
      </c>
      <c r="H297" s="41">
        <f t="shared" ref="H297:J298" si="95">H298</f>
        <v>0</v>
      </c>
      <c r="I297" s="41">
        <f t="shared" si="95"/>
        <v>1840</v>
      </c>
      <c r="J297" s="41">
        <f t="shared" si="95"/>
        <v>0</v>
      </c>
    </row>
    <row r="298" spans="1:10" ht="51" x14ac:dyDescent="0.2">
      <c r="A298" s="1"/>
      <c r="B298" s="25"/>
      <c r="C298" s="16" t="s">
        <v>95</v>
      </c>
      <c r="D298" s="16" t="s">
        <v>88</v>
      </c>
      <c r="E298" s="79">
        <v>530223272</v>
      </c>
      <c r="F298" s="16"/>
      <c r="G298" s="98" t="s">
        <v>488</v>
      </c>
      <c r="H298" s="41">
        <f t="shared" si="95"/>
        <v>0</v>
      </c>
      <c r="I298" s="41">
        <f t="shared" si="95"/>
        <v>1840</v>
      </c>
      <c r="J298" s="41">
        <f t="shared" si="95"/>
        <v>0</v>
      </c>
    </row>
    <row r="299" spans="1:10" ht="38.25" x14ac:dyDescent="0.2">
      <c r="A299" s="1"/>
      <c r="B299" s="25"/>
      <c r="C299" s="16" t="s">
        <v>95</v>
      </c>
      <c r="D299" s="16" t="s">
        <v>88</v>
      </c>
      <c r="E299" s="79">
        <v>530223272</v>
      </c>
      <c r="F299" s="82" t="s">
        <v>211</v>
      </c>
      <c r="G299" s="98" t="s">
        <v>212</v>
      </c>
      <c r="H299" s="41">
        <v>0</v>
      </c>
      <c r="I299" s="41">
        <v>1840</v>
      </c>
      <c r="J299" s="41">
        <v>0</v>
      </c>
    </row>
    <row r="300" spans="1:10" s="179" customFormat="1" ht="25.5" x14ac:dyDescent="0.2">
      <c r="A300" s="1"/>
      <c r="B300" s="25"/>
      <c r="C300" s="82" t="s">
        <v>95</v>
      </c>
      <c r="D300" s="82" t="s">
        <v>88</v>
      </c>
      <c r="E300" s="79">
        <v>9900000000</v>
      </c>
      <c r="F300" s="16"/>
      <c r="G300" s="55" t="s">
        <v>144</v>
      </c>
      <c r="H300" s="94">
        <f t="shared" ref="H300:J302" si="96">H301</f>
        <v>18.600000000000001</v>
      </c>
      <c r="I300" s="94">
        <f t="shared" si="96"/>
        <v>0</v>
      </c>
      <c r="J300" s="94">
        <f t="shared" si="96"/>
        <v>0</v>
      </c>
    </row>
    <row r="301" spans="1:10" s="179" customFormat="1" ht="14.25" x14ac:dyDescent="0.2">
      <c r="A301" s="1"/>
      <c r="B301" s="25"/>
      <c r="C301" s="16" t="s">
        <v>95</v>
      </c>
      <c r="D301" s="16" t="s">
        <v>88</v>
      </c>
      <c r="E301" s="79">
        <v>9920000000</v>
      </c>
      <c r="F301" s="35"/>
      <c r="G301" s="126" t="s">
        <v>5</v>
      </c>
      <c r="H301" s="94">
        <f t="shared" si="96"/>
        <v>18.600000000000001</v>
      </c>
      <c r="I301" s="94">
        <f t="shared" si="96"/>
        <v>0</v>
      </c>
      <c r="J301" s="94">
        <f t="shared" si="96"/>
        <v>0</v>
      </c>
    </row>
    <row r="302" spans="1:10" s="179" customFormat="1" ht="25.5" x14ac:dyDescent="0.2">
      <c r="A302" s="1"/>
      <c r="B302" s="25"/>
      <c r="C302" s="16" t="s">
        <v>95</v>
      </c>
      <c r="D302" s="16" t="s">
        <v>88</v>
      </c>
      <c r="E302" s="79">
        <v>9920026100</v>
      </c>
      <c r="F302" s="21"/>
      <c r="G302" s="178" t="s">
        <v>11</v>
      </c>
      <c r="H302" s="39">
        <f t="shared" si="96"/>
        <v>18.600000000000001</v>
      </c>
      <c r="I302" s="39">
        <f t="shared" si="96"/>
        <v>0</v>
      </c>
      <c r="J302" s="39">
        <f t="shared" si="96"/>
        <v>0</v>
      </c>
    </row>
    <row r="303" spans="1:10" s="179" customFormat="1" ht="38.25" x14ac:dyDescent="0.2">
      <c r="A303" s="1"/>
      <c r="B303" s="25"/>
      <c r="C303" s="16" t="s">
        <v>95</v>
      </c>
      <c r="D303" s="16" t="s">
        <v>88</v>
      </c>
      <c r="E303" s="79">
        <v>9920026100</v>
      </c>
      <c r="F303" s="82" t="s">
        <v>211</v>
      </c>
      <c r="G303" s="98" t="s">
        <v>212</v>
      </c>
      <c r="H303" s="39">
        <v>18.600000000000001</v>
      </c>
      <c r="I303" s="39">
        <v>0</v>
      </c>
      <c r="J303" s="39">
        <v>0</v>
      </c>
    </row>
    <row r="304" spans="1:10" ht="14.25" x14ac:dyDescent="0.2">
      <c r="A304" s="1"/>
      <c r="B304" s="25"/>
      <c r="C304" s="30" t="s">
        <v>95</v>
      </c>
      <c r="D304" s="30" t="s">
        <v>89</v>
      </c>
      <c r="E304" s="30"/>
      <c r="F304" s="30"/>
      <c r="G304" s="27" t="s">
        <v>41</v>
      </c>
      <c r="H304" s="40">
        <f>H305+H320+H349</f>
        <v>48777.399999999994</v>
      </c>
      <c r="I304" s="40">
        <f>I305+I320</f>
        <v>13487.8</v>
      </c>
      <c r="J304" s="40">
        <f>J305+J320</f>
        <v>12484</v>
      </c>
    </row>
    <row r="305" spans="1:10" ht="89.25" x14ac:dyDescent="0.2">
      <c r="A305" s="1"/>
      <c r="B305" s="25"/>
      <c r="C305" s="5" t="s">
        <v>95</v>
      </c>
      <c r="D305" s="5" t="s">
        <v>89</v>
      </c>
      <c r="E305" s="76">
        <v>400000000</v>
      </c>
      <c r="F305" s="16"/>
      <c r="G305" s="141" t="s">
        <v>575</v>
      </c>
      <c r="H305" s="96">
        <f t="shared" ref="H305:J306" si="97">H306</f>
        <v>13597</v>
      </c>
      <c r="I305" s="96">
        <f t="shared" si="97"/>
        <v>5125</v>
      </c>
      <c r="J305" s="96">
        <f t="shared" si="97"/>
        <v>4158.8</v>
      </c>
    </row>
    <row r="306" spans="1:10" ht="79.5" customHeight="1" x14ac:dyDescent="0.2">
      <c r="A306" s="1"/>
      <c r="B306" s="25"/>
      <c r="C306" s="16" t="s">
        <v>95</v>
      </c>
      <c r="D306" s="16" t="s">
        <v>89</v>
      </c>
      <c r="E306" s="75">
        <v>430000000</v>
      </c>
      <c r="F306" s="16"/>
      <c r="G306" s="46" t="s">
        <v>642</v>
      </c>
      <c r="H306" s="93">
        <f>H307</f>
        <v>13597</v>
      </c>
      <c r="I306" s="93">
        <f t="shared" si="97"/>
        <v>5125</v>
      </c>
      <c r="J306" s="93">
        <f t="shared" si="97"/>
        <v>4158.8</v>
      </c>
    </row>
    <row r="307" spans="1:10" ht="38.25" x14ac:dyDescent="0.2">
      <c r="A307" s="1"/>
      <c r="B307" s="25"/>
      <c r="C307" s="16" t="s">
        <v>95</v>
      </c>
      <c r="D307" s="16" t="s">
        <v>89</v>
      </c>
      <c r="E307" s="74">
        <v>430200000</v>
      </c>
      <c r="F307" s="16"/>
      <c r="G307" s="97" t="s">
        <v>293</v>
      </c>
      <c r="H307" s="41">
        <f>H308+H310+H312+H314+H316+H318</f>
        <v>13597</v>
      </c>
      <c r="I307" s="41">
        <f t="shared" ref="I307:J307" si="98">I308+I310+I312+I314+I316+I318</f>
        <v>5125</v>
      </c>
      <c r="J307" s="41">
        <f t="shared" si="98"/>
        <v>4158.8</v>
      </c>
    </row>
    <row r="308" spans="1:10" ht="107.25" customHeight="1" x14ac:dyDescent="0.2">
      <c r="A308" s="1"/>
      <c r="B308" s="25"/>
      <c r="C308" s="16" t="s">
        <v>95</v>
      </c>
      <c r="D308" s="16" t="s">
        <v>89</v>
      </c>
      <c r="E308" s="74">
        <v>430227340</v>
      </c>
      <c r="F308" s="16"/>
      <c r="G308" s="98" t="s">
        <v>605</v>
      </c>
      <c r="H308" s="39">
        <f>H309</f>
        <v>779.2</v>
      </c>
      <c r="I308" s="39">
        <f t="shared" ref="I308:J308" si="99">I309</f>
        <v>1364</v>
      </c>
      <c r="J308" s="39">
        <f t="shared" si="99"/>
        <v>1364</v>
      </c>
    </row>
    <row r="309" spans="1:10" ht="63.75" x14ac:dyDescent="0.2">
      <c r="A309" s="1"/>
      <c r="B309" s="25"/>
      <c r="C309" s="16" t="s">
        <v>95</v>
      </c>
      <c r="D309" s="16" t="s">
        <v>89</v>
      </c>
      <c r="E309" s="74">
        <v>430227340</v>
      </c>
      <c r="F309" s="16" t="s">
        <v>12</v>
      </c>
      <c r="G309" s="98" t="s">
        <v>318</v>
      </c>
      <c r="H309" s="39">
        <f>1364-584.8</f>
        <v>779.2</v>
      </c>
      <c r="I309" s="39">
        <v>1364</v>
      </c>
      <c r="J309" s="39">
        <v>1364</v>
      </c>
    </row>
    <row r="310" spans="1:10" ht="116.25" customHeight="1" x14ac:dyDescent="0.2">
      <c r="A310" s="1"/>
      <c r="B310" s="25"/>
      <c r="C310" s="16" t="s">
        <v>95</v>
      </c>
      <c r="D310" s="16" t="s">
        <v>89</v>
      </c>
      <c r="E310" s="74">
        <v>430227350</v>
      </c>
      <c r="F310" s="16"/>
      <c r="G310" s="98" t="s">
        <v>596</v>
      </c>
      <c r="H310" s="39">
        <f>H311</f>
        <v>25.5</v>
      </c>
      <c r="I310" s="39">
        <f t="shared" ref="I310:J310" si="100">I311</f>
        <v>25.5</v>
      </c>
      <c r="J310" s="39">
        <f t="shared" si="100"/>
        <v>25.5</v>
      </c>
    </row>
    <row r="311" spans="1:10" ht="63.75" x14ac:dyDescent="0.2">
      <c r="A311" s="1"/>
      <c r="B311" s="25"/>
      <c r="C311" s="16" t="s">
        <v>95</v>
      </c>
      <c r="D311" s="16" t="s">
        <v>89</v>
      </c>
      <c r="E311" s="74">
        <v>430227350</v>
      </c>
      <c r="F311" s="16" t="s">
        <v>12</v>
      </c>
      <c r="G311" s="98" t="s">
        <v>318</v>
      </c>
      <c r="H311" s="39">
        <v>25.5</v>
      </c>
      <c r="I311" s="39">
        <v>25.5</v>
      </c>
      <c r="J311" s="39">
        <v>25.5</v>
      </c>
    </row>
    <row r="312" spans="1:10" ht="127.5" x14ac:dyDescent="0.2">
      <c r="A312" s="1"/>
      <c r="B312" s="25"/>
      <c r="C312" s="16" t="s">
        <v>95</v>
      </c>
      <c r="D312" s="16" t="s">
        <v>89</v>
      </c>
      <c r="E312" s="74">
        <v>430227360</v>
      </c>
      <c r="F312" s="16"/>
      <c r="G312" s="98" t="s">
        <v>597</v>
      </c>
      <c r="H312" s="39">
        <f>H313</f>
        <v>5593.6</v>
      </c>
      <c r="I312" s="39">
        <f t="shared" ref="I312:J312" si="101">I313</f>
        <v>1661.6</v>
      </c>
      <c r="J312" s="39">
        <f t="shared" si="101"/>
        <v>1661.6</v>
      </c>
    </row>
    <row r="313" spans="1:10" ht="63.75" x14ac:dyDescent="0.2">
      <c r="A313" s="1"/>
      <c r="B313" s="25"/>
      <c r="C313" s="16" t="s">
        <v>95</v>
      </c>
      <c r="D313" s="16" t="s">
        <v>89</v>
      </c>
      <c r="E313" s="74">
        <v>430227360</v>
      </c>
      <c r="F313" s="16" t="s">
        <v>12</v>
      </c>
      <c r="G313" s="98" t="s">
        <v>318</v>
      </c>
      <c r="H313" s="39">
        <f>5293.6+300</f>
        <v>5593.6</v>
      </c>
      <c r="I313" s="39">
        <v>1661.6</v>
      </c>
      <c r="J313" s="39">
        <v>1661.6</v>
      </c>
    </row>
    <row r="314" spans="1:10" ht="171" customHeight="1" x14ac:dyDescent="0.2">
      <c r="A314" s="1"/>
      <c r="B314" s="25"/>
      <c r="C314" s="16" t="s">
        <v>95</v>
      </c>
      <c r="D314" s="16" t="s">
        <v>89</v>
      </c>
      <c r="E314" s="74">
        <v>430227370</v>
      </c>
      <c r="F314" s="16"/>
      <c r="G314" s="98" t="s">
        <v>606</v>
      </c>
      <c r="H314" s="39">
        <f>H315</f>
        <v>1300</v>
      </c>
      <c r="I314" s="39">
        <f t="shared" ref="I314:J314" si="102">I315</f>
        <v>1107.7</v>
      </c>
      <c r="J314" s="39">
        <f t="shared" si="102"/>
        <v>1107.7</v>
      </c>
    </row>
    <row r="315" spans="1:10" ht="63.75" x14ac:dyDescent="0.2">
      <c r="A315" s="1"/>
      <c r="B315" s="25"/>
      <c r="C315" s="16" t="s">
        <v>95</v>
      </c>
      <c r="D315" s="16" t="s">
        <v>89</v>
      </c>
      <c r="E315" s="74">
        <v>430227370</v>
      </c>
      <c r="F315" s="16" t="s">
        <v>12</v>
      </c>
      <c r="G315" s="98" t="s">
        <v>318</v>
      </c>
      <c r="H315" s="39">
        <f>1000+300</f>
        <v>1300</v>
      </c>
      <c r="I315" s="39">
        <v>1107.7</v>
      </c>
      <c r="J315" s="39">
        <v>1107.7</v>
      </c>
    </row>
    <row r="316" spans="1:10" ht="112.5" customHeight="1" x14ac:dyDescent="0.2">
      <c r="A316" s="1"/>
      <c r="B316" s="25"/>
      <c r="C316" s="16" t="s">
        <v>95</v>
      </c>
      <c r="D316" s="16" t="s">
        <v>89</v>
      </c>
      <c r="E316" s="74">
        <v>430227390</v>
      </c>
      <c r="F316" s="16"/>
      <c r="G316" s="98" t="s">
        <v>641</v>
      </c>
      <c r="H316" s="39">
        <f>H317</f>
        <v>2898.7</v>
      </c>
      <c r="I316" s="39">
        <f t="shared" ref="I316:J316" si="103">I317</f>
        <v>966.2</v>
      </c>
      <c r="J316" s="39">
        <f t="shared" si="103"/>
        <v>0</v>
      </c>
    </row>
    <row r="317" spans="1:10" ht="63.75" x14ac:dyDescent="0.2">
      <c r="A317" s="1"/>
      <c r="B317" s="25"/>
      <c r="C317" s="16" t="s">
        <v>95</v>
      </c>
      <c r="D317" s="16" t="s">
        <v>89</v>
      </c>
      <c r="E317" s="74">
        <v>430227390</v>
      </c>
      <c r="F317" s="16" t="s">
        <v>12</v>
      </c>
      <c r="G317" s="98" t="s">
        <v>318</v>
      </c>
      <c r="H317" s="39">
        <v>2898.7</v>
      </c>
      <c r="I317" s="39">
        <v>966.2</v>
      </c>
      <c r="J317" s="39">
        <v>0</v>
      </c>
    </row>
    <row r="318" spans="1:10" ht="127.5" x14ac:dyDescent="0.2">
      <c r="A318" s="1"/>
      <c r="B318" s="25"/>
      <c r="C318" s="16" t="s">
        <v>95</v>
      </c>
      <c r="D318" s="16" t="s">
        <v>89</v>
      </c>
      <c r="E318" s="74">
        <v>430227400</v>
      </c>
      <c r="F318" s="16"/>
      <c r="G318" s="98" t="s">
        <v>715</v>
      </c>
      <c r="H318" s="39">
        <f>H319</f>
        <v>3000</v>
      </c>
      <c r="I318" s="39">
        <f t="shared" ref="I318:J318" si="104">I319</f>
        <v>0</v>
      </c>
      <c r="J318" s="39">
        <f t="shared" si="104"/>
        <v>0</v>
      </c>
    </row>
    <row r="319" spans="1:10" ht="63.75" x14ac:dyDescent="0.2">
      <c r="A319" s="1"/>
      <c r="B319" s="25"/>
      <c r="C319" s="16" t="s">
        <v>95</v>
      </c>
      <c r="D319" s="16" t="s">
        <v>89</v>
      </c>
      <c r="E319" s="74">
        <v>430227400</v>
      </c>
      <c r="F319" s="16" t="s">
        <v>12</v>
      </c>
      <c r="G319" s="98" t="s">
        <v>318</v>
      </c>
      <c r="H319" s="39">
        <f>2000+1000</f>
        <v>3000</v>
      </c>
      <c r="I319" s="39">
        <v>0</v>
      </c>
      <c r="J319" s="39">
        <v>0</v>
      </c>
    </row>
    <row r="320" spans="1:10" ht="102" x14ac:dyDescent="0.2">
      <c r="A320" s="1"/>
      <c r="B320" s="25"/>
      <c r="C320" s="5" t="s">
        <v>95</v>
      </c>
      <c r="D320" s="5" t="s">
        <v>89</v>
      </c>
      <c r="E320" s="81" t="s">
        <v>32</v>
      </c>
      <c r="F320" s="16"/>
      <c r="G320" s="53" t="s">
        <v>577</v>
      </c>
      <c r="H320" s="96">
        <f>H321+H330+H342</f>
        <v>35060.399999999994</v>
      </c>
      <c r="I320" s="96">
        <f>I321+I330+I342</f>
        <v>8362.7999999999993</v>
      </c>
      <c r="J320" s="96">
        <f>J321+J330+J342</f>
        <v>8325.2000000000007</v>
      </c>
    </row>
    <row r="321" spans="1:10" ht="38.25" x14ac:dyDescent="0.2">
      <c r="A321" s="1"/>
      <c r="B321" s="25"/>
      <c r="C321" s="16" t="s">
        <v>95</v>
      </c>
      <c r="D321" s="16" t="s">
        <v>89</v>
      </c>
      <c r="E321" s="52" t="s">
        <v>33</v>
      </c>
      <c r="F321" s="16"/>
      <c r="G321" s="48" t="s">
        <v>546</v>
      </c>
      <c r="H321" s="93">
        <f>H322+H325</f>
        <v>690.9</v>
      </c>
      <c r="I321" s="93">
        <f>I322+I325</f>
        <v>685</v>
      </c>
      <c r="J321" s="93">
        <f>J322+J325</f>
        <v>530</v>
      </c>
    </row>
    <row r="322" spans="1:10" ht="38.25" x14ac:dyDescent="0.2">
      <c r="A322" s="1"/>
      <c r="B322" s="25"/>
      <c r="C322" s="16" t="s">
        <v>95</v>
      </c>
      <c r="D322" s="16" t="s">
        <v>89</v>
      </c>
      <c r="E322" s="21" t="s">
        <v>235</v>
      </c>
      <c r="F322" s="16"/>
      <c r="G322" s="99" t="s">
        <v>234</v>
      </c>
      <c r="H322" s="93">
        <f t="shared" ref="H322:J323" si="105">H323</f>
        <v>521.9</v>
      </c>
      <c r="I322" s="93">
        <f t="shared" si="105"/>
        <v>510</v>
      </c>
      <c r="J322" s="93">
        <f t="shared" si="105"/>
        <v>510</v>
      </c>
    </row>
    <row r="323" spans="1:10" ht="25.5" x14ac:dyDescent="0.25">
      <c r="A323" s="1"/>
      <c r="B323" s="25"/>
      <c r="C323" s="16" t="s">
        <v>95</v>
      </c>
      <c r="D323" s="16" t="s">
        <v>89</v>
      </c>
      <c r="E323" s="21" t="s">
        <v>492</v>
      </c>
      <c r="F323" s="3"/>
      <c r="G323" s="98" t="s">
        <v>188</v>
      </c>
      <c r="H323" s="41">
        <f t="shared" si="105"/>
        <v>521.9</v>
      </c>
      <c r="I323" s="41">
        <f t="shared" si="105"/>
        <v>510</v>
      </c>
      <c r="J323" s="41">
        <f t="shared" si="105"/>
        <v>510</v>
      </c>
    </row>
    <row r="324" spans="1:10" ht="38.25" x14ac:dyDescent="0.2">
      <c r="A324" s="1"/>
      <c r="B324" s="25"/>
      <c r="C324" s="16" t="s">
        <v>95</v>
      </c>
      <c r="D324" s="16" t="s">
        <v>89</v>
      </c>
      <c r="E324" s="21" t="s">
        <v>492</v>
      </c>
      <c r="F324" s="82" t="s">
        <v>211</v>
      </c>
      <c r="G324" s="98" t="s">
        <v>212</v>
      </c>
      <c r="H324" s="41">
        <f>510+11.9</f>
        <v>521.9</v>
      </c>
      <c r="I324" s="41">
        <v>510</v>
      </c>
      <c r="J324" s="41">
        <v>510</v>
      </c>
    </row>
    <row r="325" spans="1:10" ht="38.25" x14ac:dyDescent="0.2">
      <c r="A325" s="1"/>
      <c r="B325" s="25"/>
      <c r="C325" s="16" t="s">
        <v>95</v>
      </c>
      <c r="D325" s="16" t="s">
        <v>89</v>
      </c>
      <c r="E325" s="21" t="s">
        <v>494</v>
      </c>
      <c r="F325" s="82"/>
      <c r="G325" s="99" t="s">
        <v>334</v>
      </c>
      <c r="H325" s="41">
        <f>H326+H328</f>
        <v>169</v>
      </c>
      <c r="I325" s="41">
        <f t="shared" ref="I325:J325" si="106">I326+I328</f>
        <v>175</v>
      </c>
      <c r="J325" s="41">
        <f t="shared" si="106"/>
        <v>20</v>
      </c>
    </row>
    <row r="326" spans="1:10" ht="25.5" x14ac:dyDescent="0.2">
      <c r="A326" s="1"/>
      <c r="B326" s="25"/>
      <c r="C326" s="16" t="s">
        <v>95</v>
      </c>
      <c r="D326" s="16" t="s">
        <v>89</v>
      </c>
      <c r="E326" s="21" t="s">
        <v>493</v>
      </c>
      <c r="F326" s="16"/>
      <c r="G326" s="98" t="s">
        <v>333</v>
      </c>
      <c r="H326" s="41">
        <f t="shared" ref="H326:J326" si="107">H327</f>
        <v>14</v>
      </c>
      <c r="I326" s="41">
        <f t="shared" si="107"/>
        <v>20</v>
      </c>
      <c r="J326" s="41">
        <f t="shared" si="107"/>
        <v>20</v>
      </c>
    </row>
    <row r="327" spans="1:10" ht="38.25" x14ac:dyDescent="0.2">
      <c r="A327" s="1"/>
      <c r="B327" s="25"/>
      <c r="C327" s="16" t="s">
        <v>95</v>
      </c>
      <c r="D327" s="16" t="s">
        <v>89</v>
      </c>
      <c r="E327" s="21" t="s">
        <v>493</v>
      </c>
      <c r="F327" s="82" t="s">
        <v>211</v>
      </c>
      <c r="G327" s="98" t="s">
        <v>212</v>
      </c>
      <c r="H327" s="41">
        <f>10+4</f>
        <v>14</v>
      </c>
      <c r="I327" s="41">
        <v>20</v>
      </c>
      <c r="J327" s="41">
        <v>20</v>
      </c>
    </row>
    <row r="328" spans="1:10" ht="38.25" x14ac:dyDescent="0.2">
      <c r="A328" s="1"/>
      <c r="B328" s="25"/>
      <c r="C328" s="16" t="s">
        <v>95</v>
      </c>
      <c r="D328" s="16" t="s">
        <v>89</v>
      </c>
      <c r="E328" s="21" t="s">
        <v>547</v>
      </c>
      <c r="F328" s="82"/>
      <c r="G328" s="98" t="s">
        <v>548</v>
      </c>
      <c r="H328" s="41">
        <f>H329</f>
        <v>155</v>
      </c>
      <c r="I328" s="41">
        <f t="shared" ref="I328:J328" si="108">I329</f>
        <v>155</v>
      </c>
      <c r="J328" s="41">
        <f t="shared" si="108"/>
        <v>0</v>
      </c>
    </row>
    <row r="329" spans="1:10" ht="38.25" x14ac:dyDescent="0.2">
      <c r="A329" s="1"/>
      <c r="B329" s="25"/>
      <c r="C329" s="16" t="s">
        <v>95</v>
      </c>
      <c r="D329" s="16" t="s">
        <v>89</v>
      </c>
      <c r="E329" s="21" t="s">
        <v>547</v>
      </c>
      <c r="F329" s="82" t="s">
        <v>211</v>
      </c>
      <c r="G329" s="98" t="s">
        <v>212</v>
      </c>
      <c r="H329" s="41">
        <v>155</v>
      </c>
      <c r="I329" s="41">
        <v>155</v>
      </c>
      <c r="J329" s="41">
        <v>0</v>
      </c>
    </row>
    <row r="330" spans="1:10" ht="25.5" x14ac:dyDescent="0.2">
      <c r="A330" s="1"/>
      <c r="B330" s="25"/>
      <c r="C330" s="47" t="s">
        <v>95</v>
      </c>
      <c r="D330" s="47" t="s">
        <v>89</v>
      </c>
      <c r="E330" s="52" t="s">
        <v>368</v>
      </c>
      <c r="F330" s="16"/>
      <c r="G330" s="46" t="s">
        <v>341</v>
      </c>
      <c r="H330" s="93">
        <f>H331+H337</f>
        <v>31306.799999999996</v>
      </c>
      <c r="I330" s="93">
        <f t="shared" ref="I330:J330" si="109">I331+I337</f>
        <v>2850</v>
      </c>
      <c r="J330" s="93">
        <f t="shared" si="109"/>
        <v>2850</v>
      </c>
    </row>
    <row r="331" spans="1:10" ht="38.25" x14ac:dyDescent="0.2">
      <c r="A331" s="1"/>
      <c r="B331" s="25"/>
      <c r="C331" s="16" t="s">
        <v>95</v>
      </c>
      <c r="D331" s="16" t="s">
        <v>89</v>
      </c>
      <c r="E331" s="21" t="s">
        <v>495</v>
      </c>
      <c r="F331" s="16"/>
      <c r="G331" s="99" t="s">
        <v>302</v>
      </c>
      <c r="H331" s="39">
        <f>H332+H334</f>
        <v>2099.5</v>
      </c>
      <c r="I331" s="39">
        <f t="shared" ref="I331:J331" si="110">I332+I334</f>
        <v>750</v>
      </c>
      <c r="J331" s="39">
        <f t="shared" si="110"/>
        <v>750</v>
      </c>
    </row>
    <row r="332" spans="1:10" ht="38.25" x14ac:dyDescent="0.2">
      <c r="A332" s="1"/>
      <c r="B332" s="25"/>
      <c r="C332" s="16" t="s">
        <v>95</v>
      </c>
      <c r="D332" s="16" t="s">
        <v>89</v>
      </c>
      <c r="E332" s="21" t="s">
        <v>496</v>
      </c>
      <c r="F332" s="16"/>
      <c r="G332" s="97" t="s">
        <v>189</v>
      </c>
      <c r="H332" s="41">
        <f>H333</f>
        <v>178</v>
      </c>
      <c r="I332" s="41">
        <f>I333</f>
        <v>200</v>
      </c>
      <c r="J332" s="41">
        <f>J333</f>
        <v>200</v>
      </c>
    </row>
    <row r="333" spans="1:10" ht="38.25" x14ac:dyDescent="0.2">
      <c r="A333" s="1"/>
      <c r="B333" s="25"/>
      <c r="C333" s="16" t="s">
        <v>95</v>
      </c>
      <c r="D333" s="16" t="s">
        <v>89</v>
      </c>
      <c r="E333" s="21" t="s">
        <v>496</v>
      </c>
      <c r="F333" s="82" t="s">
        <v>211</v>
      </c>
      <c r="G333" s="98" t="s">
        <v>212</v>
      </c>
      <c r="H333" s="41">
        <f>200-22</f>
        <v>178</v>
      </c>
      <c r="I333" s="41">
        <v>200</v>
      </c>
      <c r="J333" s="41">
        <v>200</v>
      </c>
    </row>
    <row r="334" spans="1:10" ht="25.5" x14ac:dyDescent="0.2">
      <c r="A334" s="1"/>
      <c r="B334" s="25"/>
      <c r="C334" s="16" t="s">
        <v>95</v>
      </c>
      <c r="D334" s="16" t="s">
        <v>89</v>
      </c>
      <c r="E334" s="21" t="s">
        <v>498</v>
      </c>
      <c r="F334" s="82"/>
      <c r="G334" s="98" t="s">
        <v>497</v>
      </c>
      <c r="H334" s="41">
        <f>SUM(H335:H336)</f>
        <v>1921.5</v>
      </c>
      <c r="I334" s="41">
        <f t="shared" ref="I334:J334" si="111">SUM(I335:I336)</f>
        <v>550</v>
      </c>
      <c r="J334" s="41">
        <f t="shared" si="111"/>
        <v>550</v>
      </c>
    </row>
    <row r="335" spans="1:10" ht="38.25" x14ac:dyDescent="0.2">
      <c r="A335" s="1"/>
      <c r="B335" s="25"/>
      <c r="C335" s="16" t="s">
        <v>95</v>
      </c>
      <c r="D335" s="16" t="s">
        <v>89</v>
      </c>
      <c r="E335" s="21" t="s">
        <v>498</v>
      </c>
      <c r="F335" s="82" t="s">
        <v>211</v>
      </c>
      <c r="G335" s="98" t="s">
        <v>212</v>
      </c>
      <c r="H335" s="41">
        <f>400+621.2+378.8</f>
        <v>1400</v>
      </c>
      <c r="I335" s="41">
        <v>550</v>
      </c>
      <c r="J335" s="41">
        <v>550</v>
      </c>
    </row>
    <row r="336" spans="1:10" x14ac:dyDescent="0.2">
      <c r="A336" s="1"/>
      <c r="B336" s="25"/>
      <c r="C336" s="16" t="s">
        <v>95</v>
      </c>
      <c r="D336" s="16" t="s">
        <v>89</v>
      </c>
      <c r="E336" s="21" t="s">
        <v>498</v>
      </c>
      <c r="F336" s="82" t="s">
        <v>248</v>
      </c>
      <c r="G336" s="99" t="s">
        <v>271</v>
      </c>
      <c r="H336" s="41">
        <v>521.5</v>
      </c>
      <c r="I336" s="41">
        <v>0</v>
      </c>
      <c r="J336" s="41">
        <v>0</v>
      </c>
    </row>
    <row r="337" spans="1:10" ht="41.25" customHeight="1" x14ac:dyDescent="0.2">
      <c r="A337" s="1"/>
      <c r="B337" s="25"/>
      <c r="C337" s="16" t="s">
        <v>95</v>
      </c>
      <c r="D337" s="16" t="s">
        <v>89</v>
      </c>
      <c r="E337" s="21" t="s">
        <v>500</v>
      </c>
      <c r="F337" s="82"/>
      <c r="G337" s="99" t="s">
        <v>709</v>
      </c>
      <c r="H337" s="41">
        <f>H338+H340</f>
        <v>29207.299999999996</v>
      </c>
      <c r="I337" s="41">
        <f t="shared" ref="I337:J337" si="112">I338+I340</f>
        <v>2100</v>
      </c>
      <c r="J337" s="41">
        <f t="shared" si="112"/>
        <v>2100</v>
      </c>
    </row>
    <row r="338" spans="1:10" ht="51" x14ac:dyDescent="0.2">
      <c r="A338" s="1"/>
      <c r="B338" s="25"/>
      <c r="C338" s="16" t="s">
        <v>95</v>
      </c>
      <c r="D338" s="16" t="s">
        <v>89</v>
      </c>
      <c r="E338" s="21" t="s">
        <v>499</v>
      </c>
      <c r="F338" s="16"/>
      <c r="G338" s="98" t="s">
        <v>579</v>
      </c>
      <c r="H338" s="41">
        <f t="shared" ref="H338:J338" si="113">H339</f>
        <v>0</v>
      </c>
      <c r="I338" s="41">
        <f t="shared" si="113"/>
        <v>2100</v>
      </c>
      <c r="J338" s="41">
        <f t="shared" si="113"/>
        <v>2100</v>
      </c>
    </row>
    <row r="339" spans="1:10" ht="38.25" x14ac:dyDescent="0.2">
      <c r="A339" s="1"/>
      <c r="B339" s="25"/>
      <c r="C339" s="16" t="s">
        <v>95</v>
      </c>
      <c r="D339" s="16" t="s">
        <v>89</v>
      </c>
      <c r="E339" s="21" t="s">
        <v>499</v>
      </c>
      <c r="F339" s="82" t="s">
        <v>211</v>
      </c>
      <c r="G339" s="98" t="s">
        <v>212</v>
      </c>
      <c r="H339" s="41">
        <f>3689.4-3689.4</f>
        <v>0</v>
      </c>
      <c r="I339" s="41">
        <v>2100</v>
      </c>
      <c r="J339" s="41">
        <v>2100</v>
      </c>
    </row>
    <row r="340" spans="1:10" ht="25.5" customHeight="1" x14ac:dyDescent="0.2">
      <c r="A340" s="1"/>
      <c r="B340" s="25"/>
      <c r="C340" s="16" t="s">
        <v>95</v>
      </c>
      <c r="D340" s="16" t="s">
        <v>89</v>
      </c>
      <c r="E340" s="21" t="s">
        <v>710</v>
      </c>
      <c r="F340" s="82"/>
      <c r="G340" s="98" t="s">
        <v>711</v>
      </c>
      <c r="H340" s="41">
        <f>H341</f>
        <v>29207.299999999996</v>
      </c>
      <c r="I340" s="41">
        <f t="shared" ref="I340:J340" si="114">I341</f>
        <v>0</v>
      </c>
      <c r="J340" s="41">
        <f t="shared" si="114"/>
        <v>0</v>
      </c>
    </row>
    <row r="341" spans="1:10" x14ac:dyDescent="0.2">
      <c r="A341" s="1"/>
      <c r="B341" s="25"/>
      <c r="C341" s="16" t="s">
        <v>95</v>
      </c>
      <c r="D341" s="16" t="s">
        <v>89</v>
      </c>
      <c r="E341" s="21" t="s">
        <v>710</v>
      </c>
      <c r="F341" s="82" t="s">
        <v>248</v>
      </c>
      <c r="G341" s="99" t="s">
        <v>271</v>
      </c>
      <c r="H341" s="41">
        <f>40000-6756.8-4035.9</f>
        <v>29207.299999999996</v>
      </c>
      <c r="I341" s="41">
        <v>0</v>
      </c>
      <c r="J341" s="41">
        <v>0</v>
      </c>
    </row>
    <row r="342" spans="1:10" ht="38.25" x14ac:dyDescent="0.2">
      <c r="A342" s="1"/>
      <c r="B342" s="25"/>
      <c r="C342" s="16" t="s">
        <v>95</v>
      </c>
      <c r="D342" s="16" t="s">
        <v>89</v>
      </c>
      <c r="E342" s="52" t="s">
        <v>34</v>
      </c>
      <c r="F342" s="16"/>
      <c r="G342" s="46" t="s">
        <v>501</v>
      </c>
      <c r="H342" s="41">
        <f>H343+H346</f>
        <v>3062.7</v>
      </c>
      <c r="I342" s="41">
        <f>I343+I346</f>
        <v>4827.8</v>
      </c>
      <c r="J342" s="41">
        <f>J343+J346</f>
        <v>4945.2</v>
      </c>
    </row>
    <row r="343" spans="1:10" ht="51" x14ac:dyDescent="0.2">
      <c r="A343" s="1"/>
      <c r="B343" s="25"/>
      <c r="C343" s="16" t="s">
        <v>95</v>
      </c>
      <c r="D343" s="16" t="s">
        <v>89</v>
      </c>
      <c r="E343" s="21" t="s">
        <v>236</v>
      </c>
      <c r="F343" s="16"/>
      <c r="G343" s="99" t="s">
        <v>646</v>
      </c>
      <c r="H343" s="41">
        <f>H344</f>
        <v>1763.6999999999998</v>
      </c>
      <c r="I343" s="41">
        <f t="shared" ref="I343:J343" si="115">I344</f>
        <v>1700</v>
      </c>
      <c r="J343" s="41">
        <f t="shared" si="115"/>
        <v>1700</v>
      </c>
    </row>
    <row r="344" spans="1:10" ht="38.25" x14ac:dyDescent="0.2">
      <c r="A344" s="1"/>
      <c r="B344" s="25"/>
      <c r="C344" s="16" t="s">
        <v>95</v>
      </c>
      <c r="D344" s="16" t="s">
        <v>89</v>
      </c>
      <c r="E344" s="21" t="s">
        <v>503</v>
      </c>
      <c r="F344" s="16"/>
      <c r="G344" s="99" t="s">
        <v>502</v>
      </c>
      <c r="H344" s="41">
        <f>H345</f>
        <v>1763.6999999999998</v>
      </c>
      <c r="I344" s="41">
        <f t="shared" ref="I344:J344" si="116">I345</f>
        <v>1700</v>
      </c>
      <c r="J344" s="41">
        <f t="shared" si="116"/>
        <v>1700</v>
      </c>
    </row>
    <row r="345" spans="1:10" ht="38.25" x14ac:dyDescent="0.2">
      <c r="A345" s="1"/>
      <c r="B345" s="25"/>
      <c r="C345" s="16" t="s">
        <v>95</v>
      </c>
      <c r="D345" s="16" t="s">
        <v>89</v>
      </c>
      <c r="E345" s="21" t="s">
        <v>503</v>
      </c>
      <c r="F345" s="82" t="s">
        <v>211</v>
      </c>
      <c r="G345" s="98" t="s">
        <v>212</v>
      </c>
      <c r="H345" s="41">
        <f>1164+1050+239.1-533.4-156</f>
        <v>1763.6999999999998</v>
      </c>
      <c r="I345" s="41">
        <f>700+1000</f>
        <v>1700</v>
      </c>
      <c r="J345" s="41">
        <f>700+1000</f>
        <v>1700</v>
      </c>
    </row>
    <row r="346" spans="1:10" ht="25.5" x14ac:dyDescent="0.2">
      <c r="A346" s="1"/>
      <c r="B346" s="25"/>
      <c r="C346" s="16" t="s">
        <v>95</v>
      </c>
      <c r="D346" s="16" t="s">
        <v>89</v>
      </c>
      <c r="E346" s="21" t="s">
        <v>367</v>
      </c>
      <c r="F346" s="82"/>
      <c r="G346" s="99" t="s">
        <v>578</v>
      </c>
      <c r="H346" s="41">
        <f>H347</f>
        <v>1299</v>
      </c>
      <c r="I346" s="41">
        <f t="shared" ref="I346:J347" si="117">I347</f>
        <v>3127.8</v>
      </c>
      <c r="J346" s="41">
        <f t="shared" si="117"/>
        <v>3245.2</v>
      </c>
    </row>
    <row r="347" spans="1:10" ht="25.5" x14ac:dyDescent="0.2">
      <c r="A347" s="1"/>
      <c r="B347" s="25"/>
      <c r="C347" s="16" t="s">
        <v>95</v>
      </c>
      <c r="D347" s="16" t="s">
        <v>89</v>
      </c>
      <c r="E347" s="21" t="s">
        <v>504</v>
      </c>
      <c r="F347" s="16"/>
      <c r="G347" s="99" t="s">
        <v>369</v>
      </c>
      <c r="H347" s="41">
        <f>H348</f>
        <v>1299</v>
      </c>
      <c r="I347" s="41">
        <f t="shared" si="117"/>
        <v>3127.8</v>
      </c>
      <c r="J347" s="41">
        <f t="shared" si="117"/>
        <v>3245.2</v>
      </c>
    </row>
    <row r="348" spans="1:10" x14ac:dyDescent="0.2">
      <c r="A348" s="1"/>
      <c r="B348" s="25"/>
      <c r="C348" s="16" t="s">
        <v>95</v>
      </c>
      <c r="D348" s="16" t="s">
        <v>89</v>
      </c>
      <c r="E348" s="21" t="s">
        <v>504</v>
      </c>
      <c r="F348" s="82" t="s">
        <v>248</v>
      </c>
      <c r="G348" s="99" t="s">
        <v>271</v>
      </c>
      <c r="H348" s="41">
        <v>1299</v>
      </c>
      <c r="I348" s="41">
        <v>3127.8</v>
      </c>
      <c r="J348" s="41">
        <v>3245.2</v>
      </c>
    </row>
    <row r="349" spans="1:10" ht="38.25" x14ac:dyDescent="0.2">
      <c r="A349" s="1"/>
      <c r="B349" s="25"/>
      <c r="C349" s="16" t="s">
        <v>95</v>
      </c>
      <c r="D349" s="16" t="s">
        <v>89</v>
      </c>
      <c r="E349" s="82" t="s">
        <v>24</v>
      </c>
      <c r="F349" s="82"/>
      <c r="G349" s="99" t="s">
        <v>38</v>
      </c>
      <c r="H349" s="41">
        <f>H350</f>
        <v>120</v>
      </c>
      <c r="I349" s="41">
        <f t="shared" ref="I349:J349" si="118">I350</f>
        <v>0</v>
      </c>
      <c r="J349" s="41">
        <f t="shared" si="118"/>
        <v>0</v>
      </c>
    </row>
    <row r="350" spans="1:10" ht="51" x14ac:dyDescent="0.2">
      <c r="A350" s="1"/>
      <c r="B350" s="25"/>
      <c r="C350" s="16" t="s">
        <v>95</v>
      </c>
      <c r="D350" s="16" t="s">
        <v>89</v>
      </c>
      <c r="E350" s="82" t="s">
        <v>567</v>
      </c>
      <c r="F350" s="16"/>
      <c r="G350" s="54" t="s">
        <v>566</v>
      </c>
      <c r="H350" s="41">
        <f>SUM(H351:H351)</f>
        <v>120</v>
      </c>
      <c r="I350" s="41">
        <f>SUM(I351:I351)</f>
        <v>0</v>
      </c>
      <c r="J350" s="41">
        <f>SUM(J351:J351)</f>
        <v>0</v>
      </c>
    </row>
    <row r="351" spans="1:10" ht="38.25" x14ac:dyDescent="0.2">
      <c r="A351" s="1"/>
      <c r="B351" s="25"/>
      <c r="C351" s="16" t="s">
        <v>95</v>
      </c>
      <c r="D351" s="16" t="s">
        <v>89</v>
      </c>
      <c r="E351" s="82" t="s">
        <v>567</v>
      </c>
      <c r="F351" s="82" t="s">
        <v>211</v>
      </c>
      <c r="G351" s="98" t="s">
        <v>212</v>
      </c>
      <c r="H351" s="39">
        <v>120</v>
      </c>
      <c r="I351" s="39">
        <v>0</v>
      </c>
      <c r="J351" s="39">
        <v>0</v>
      </c>
    </row>
    <row r="352" spans="1:10" ht="14.25" x14ac:dyDescent="0.2">
      <c r="A352" s="1"/>
      <c r="B352" s="25"/>
      <c r="C352" s="30" t="s">
        <v>95</v>
      </c>
      <c r="D352" s="30" t="s">
        <v>93</v>
      </c>
      <c r="E352" s="30"/>
      <c r="F352" s="30"/>
      <c r="G352" s="27" t="s">
        <v>48</v>
      </c>
      <c r="H352" s="40">
        <f>H353+H360+H407+H419+H428</f>
        <v>257311.00000000003</v>
      </c>
      <c r="I352" s="40">
        <f>I353+I360+I407+I419+I428</f>
        <v>31645.8</v>
      </c>
      <c r="J352" s="40">
        <f>J353+J360+J407+J419+J428</f>
        <v>31670.799999999999</v>
      </c>
    </row>
    <row r="353" spans="1:10" ht="89.25" x14ac:dyDescent="0.2">
      <c r="A353" s="1"/>
      <c r="B353" s="25"/>
      <c r="C353" s="82" t="s">
        <v>95</v>
      </c>
      <c r="D353" s="82" t="s">
        <v>93</v>
      </c>
      <c r="E353" s="78" t="s">
        <v>65</v>
      </c>
      <c r="F353" s="16"/>
      <c r="G353" s="63" t="s">
        <v>573</v>
      </c>
      <c r="H353" s="96">
        <f t="shared" ref="H353:J354" si="119">H354</f>
        <v>529.29999999999995</v>
      </c>
      <c r="I353" s="96">
        <f t="shared" si="119"/>
        <v>529.30000000000007</v>
      </c>
      <c r="J353" s="96">
        <f t="shared" si="119"/>
        <v>529.30000000000007</v>
      </c>
    </row>
    <row r="354" spans="1:10" ht="51" x14ac:dyDescent="0.2">
      <c r="A354" s="1"/>
      <c r="B354" s="25"/>
      <c r="C354" s="47" t="s">
        <v>95</v>
      </c>
      <c r="D354" s="47" t="s">
        <v>93</v>
      </c>
      <c r="E354" s="77" t="s">
        <v>66</v>
      </c>
      <c r="F354" s="16"/>
      <c r="G354" s="60" t="s">
        <v>491</v>
      </c>
      <c r="H354" s="93">
        <f t="shared" si="119"/>
        <v>529.29999999999995</v>
      </c>
      <c r="I354" s="93">
        <f t="shared" si="119"/>
        <v>529.30000000000007</v>
      </c>
      <c r="J354" s="93">
        <f t="shared" si="119"/>
        <v>529.30000000000007</v>
      </c>
    </row>
    <row r="355" spans="1:10" ht="63.75" x14ac:dyDescent="0.2">
      <c r="A355" s="1"/>
      <c r="B355" s="25"/>
      <c r="C355" s="82" t="s">
        <v>95</v>
      </c>
      <c r="D355" s="82" t="s">
        <v>93</v>
      </c>
      <c r="E355" s="74">
        <v>610100000</v>
      </c>
      <c r="F355" s="16"/>
      <c r="G355" s="98" t="s">
        <v>490</v>
      </c>
      <c r="H355" s="39">
        <f>H356+H358</f>
        <v>529.29999999999995</v>
      </c>
      <c r="I355" s="39">
        <f t="shared" ref="I355:J355" si="120">I356+I358</f>
        <v>529.30000000000007</v>
      </c>
      <c r="J355" s="39">
        <f t="shared" si="120"/>
        <v>529.30000000000007</v>
      </c>
    </row>
    <row r="356" spans="1:10" ht="38.25" x14ac:dyDescent="0.2">
      <c r="A356" s="1"/>
      <c r="B356" s="25"/>
      <c r="C356" s="82" t="s">
        <v>95</v>
      </c>
      <c r="D356" s="82" t="s">
        <v>93</v>
      </c>
      <c r="E356" s="137" t="s">
        <v>489</v>
      </c>
      <c r="F356" s="16"/>
      <c r="G356" s="98" t="s">
        <v>599</v>
      </c>
      <c r="H356" s="41">
        <f t="shared" ref="H356" si="121">H357</f>
        <v>521.4</v>
      </c>
      <c r="I356" s="41">
        <f t="shared" ref="I356:J356" si="122">I357</f>
        <v>522.1</v>
      </c>
      <c r="J356" s="41">
        <f t="shared" si="122"/>
        <v>522.1</v>
      </c>
    </row>
    <row r="357" spans="1:10" ht="38.25" x14ac:dyDescent="0.2">
      <c r="A357" s="1"/>
      <c r="B357" s="25"/>
      <c r="C357" s="82" t="s">
        <v>95</v>
      </c>
      <c r="D357" s="82" t="s">
        <v>93</v>
      </c>
      <c r="E357" s="137" t="s">
        <v>489</v>
      </c>
      <c r="F357" s="82" t="s">
        <v>211</v>
      </c>
      <c r="G357" s="98" t="s">
        <v>212</v>
      </c>
      <c r="H357" s="41">
        <f>522.1-0.7</f>
        <v>521.4</v>
      </c>
      <c r="I357" s="41">
        <v>522.1</v>
      </c>
      <c r="J357" s="41">
        <v>522.1</v>
      </c>
    </row>
    <row r="358" spans="1:10" ht="38.25" x14ac:dyDescent="0.2">
      <c r="A358" s="1"/>
      <c r="B358" s="25"/>
      <c r="C358" s="82" t="s">
        <v>95</v>
      </c>
      <c r="D358" s="82" t="s">
        <v>93</v>
      </c>
      <c r="E358" s="137" t="s">
        <v>542</v>
      </c>
      <c r="F358" s="82"/>
      <c r="G358" s="98" t="s">
        <v>543</v>
      </c>
      <c r="H358" s="41">
        <f>H359</f>
        <v>7.9</v>
      </c>
      <c r="I358" s="41">
        <f t="shared" ref="I358:J358" si="123">I359</f>
        <v>7.2</v>
      </c>
      <c r="J358" s="41">
        <f t="shared" si="123"/>
        <v>7.2</v>
      </c>
    </row>
    <row r="359" spans="1:10" ht="38.25" x14ac:dyDescent="0.2">
      <c r="A359" s="1"/>
      <c r="B359" s="25"/>
      <c r="C359" s="82" t="s">
        <v>95</v>
      </c>
      <c r="D359" s="82" t="s">
        <v>93</v>
      </c>
      <c r="E359" s="137" t="s">
        <v>542</v>
      </c>
      <c r="F359" s="82" t="s">
        <v>211</v>
      </c>
      <c r="G359" s="98" t="s">
        <v>212</v>
      </c>
      <c r="H359" s="41">
        <f>7.2+0.7</f>
        <v>7.9</v>
      </c>
      <c r="I359" s="41">
        <v>7.2</v>
      </c>
      <c r="J359" s="41">
        <v>7.2</v>
      </c>
    </row>
    <row r="360" spans="1:10" ht="89.25" x14ac:dyDescent="0.2">
      <c r="A360" s="1"/>
      <c r="B360" s="25"/>
      <c r="C360" s="5" t="s">
        <v>95</v>
      </c>
      <c r="D360" s="5" t="s">
        <v>93</v>
      </c>
      <c r="E360" s="73" t="s">
        <v>55</v>
      </c>
      <c r="F360" s="16"/>
      <c r="G360" s="53" t="s">
        <v>584</v>
      </c>
      <c r="H360" s="96">
        <f>H361+H383+H390+H399</f>
        <v>108224.70000000001</v>
      </c>
      <c r="I360" s="96">
        <f>I361+I383+I390+I399</f>
        <v>30816.5</v>
      </c>
      <c r="J360" s="96">
        <f>J361+J383+J390+J399</f>
        <v>30841.5</v>
      </c>
    </row>
    <row r="361" spans="1:10" ht="51" x14ac:dyDescent="0.2">
      <c r="A361" s="1"/>
      <c r="B361" s="25"/>
      <c r="C361" s="82" t="s">
        <v>95</v>
      </c>
      <c r="D361" s="82" t="s">
        <v>93</v>
      </c>
      <c r="E361" s="52" t="s">
        <v>56</v>
      </c>
      <c r="F361" s="47"/>
      <c r="G361" s="48" t="s">
        <v>649</v>
      </c>
      <c r="H361" s="93">
        <f>H362+H373+H378</f>
        <v>84826.8</v>
      </c>
      <c r="I361" s="93">
        <f t="shared" ref="I361:J361" si="124">I362+I373+I378</f>
        <v>20727</v>
      </c>
      <c r="J361" s="93">
        <f t="shared" si="124"/>
        <v>15527</v>
      </c>
    </row>
    <row r="362" spans="1:10" ht="38.25" x14ac:dyDescent="0.2">
      <c r="A362" s="1"/>
      <c r="B362" s="25"/>
      <c r="C362" s="16" t="s">
        <v>95</v>
      </c>
      <c r="D362" s="82" t="s">
        <v>93</v>
      </c>
      <c r="E362" s="21" t="s">
        <v>237</v>
      </c>
      <c r="F362" s="47"/>
      <c r="G362" s="99" t="s">
        <v>607</v>
      </c>
      <c r="H362" s="93">
        <f>H363+H365+H367+H369+H371</f>
        <v>23906.6</v>
      </c>
      <c r="I362" s="93">
        <f t="shared" ref="I362:J362" si="125">I363+I365+I369+I371</f>
        <v>14144.9</v>
      </c>
      <c r="J362" s="93">
        <f t="shared" si="125"/>
        <v>8944.9</v>
      </c>
    </row>
    <row r="363" spans="1:10" ht="38.25" x14ac:dyDescent="0.2">
      <c r="A363" s="1"/>
      <c r="B363" s="25"/>
      <c r="C363" s="16" t="s">
        <v>95</v>
      </c>
      <c r="D363" s="82" t="s">
        <v>93</v>
      </c>
      <c r="E363" s="74">
        <v>1210123505</v>
      </c>
      <c r="F363" s="21"/>
      <c r="G363" s="98" t="s">
        <v>517</v>
      </c>
      <c r="H363" s="41">
        <f>H364</f>
        <v>2608.8999999999996</v>
      </c>
      <c r="I363" s="41">
        <f>I364</f>
        <v>0</v>
      </c>
      <c r="J363" s="41">
        <f>J364</f>
        <v>0</v>
      </c>
    </row>
    <row r="364" spans="1:10" ht="38.25" x14ac:dyDescent="0.2">
      <c r="A364" s="1"/>
      <c r="B364" s="25"/>
      <c r="C364" s="82" t="s">
        <v>95</v>
      </c>
      <c r="D364" s="82" t="s">
        <v>93</v>
      </c>
      <c r="E364" s="74">
        <v>1210123505</v>
      </c>
      <c r="F364" s="82" t="s">
        <v>211</v>
      </c>
      <c r="G364" s="98" t="s">
        <v>212</v>
      </c>
      <c r="H364" s="39">
        <f>1266.2-65.9+22.4+1233+153.2</f>
        <v>2608.8999999999996</v>
      </c>
      <c r="I364" s="39">
        <v>0</v>
      </c>
      <c r="J364" s="39">
        <v>0</v>
      </c>
    </row>
    <row r="365" spans="1:10" ht="63.75" x14ac:dyDescent="0.2">
      <c r="A365" s="1"/>
      <c r="B365" s="25"/>
      <c r="C365" s="16" t="s">
        <v>95</v>
      </c>
      <c r="D365" s="82" t="s">
        <v>93</v>
      </c>
      <c r="E365" s="74">
        <v>1210123510</v>
      </c>
      <c r="F365" s="21"/>
      <c r="G365" s="98" t="s">
        <v>746</v>
      </c>
      <c r="H365" s="41">
        <f>H366</f>
        <v>574.70000000000005</v>
      </c>
      <c r="I365" s="41">
        <f t="shared" ref="I365:J365" si="126">I366</f>
        <v>0</v>
      </c>
      <c r="J365" s="41">
        <f t="shared" si="126"/>
        <v>0</v>
      </c>
    </row>
    <row r="366" spans="1:10" ht="38.25" x14ac:dyDescent="0.2">
      <c r="A366" s="1"/>
      <c r="B366" s="25"/>
      <c r="C366" s="82" t="s">
        <v>95</v>
      </c>
      <c r="D366" s="82" t="s">
        <v>93</v>
      </c>
      <c r="E366" s="74">
        <v>1210123510</v>
      </c>
      <c r="F366" s="82" t="s">
        <v>211</v>
      </c>
      <c r="G366" s="98" t="s">
        <v>212</v>
      </c>
      <c r="H366" s="41">
        <v>574.70000000000005</v>
      </c>
      <c r="I366" s="41">
        <v>0</v>
      </c>
      <c r="J366" s="41">
        <v>0</v>
      </c>
    </row>
    <row r="367" spans="1:10" ht="25.5" x14ac:dyDescent="0.2">
      <c r="A367" s="1"/>
      <c r="B367" s="25"/>
      <c r="C367" s="82" t="s">
        <v>95</v>
      </c>
      <c r="D367" s="82" t="s">
        <v>93</v>
      </c>
      <c r="E367" s="74">
        <v>1210123515</v>
      </c>
      <c r="F367" s="16"/>
      <c r="G367" s="98" t="s">
        <v>765</v>
      </c>
      <c r="H367" s="41">
        <f>H368</f>
        <v>450</v>
      </c>
      <c r="I367" s="41">
        <f t="shared" ref="I367" si="127">I368</f>
        <v>0</v>
      </c>
      <c r="J367" s="41">
        <f t="shared" ref="J367" si="128">J368</f>
        <v>0</v>
      </c>
    </row>
    <row r="368" spans="1:10" ht="38.25" x14ac:dyDescent="0.2">
      <c r="A368" s="1"/>
      <c r="B368" s="25"/>
      <c r="C368" s="82" t="s">
        <v>95</v>
      </c>
      <c r="D368" s="82" t="s">
        <v>93</v>
      </c>
      <c r="E368" s="74">
        <v>1210123515</v>
      </c>
      <c r="F368" s="82" t="s">
        <v>211</v>
      </c>
      <c r="G368" s="98" t="s">
        <v>212</v>
      </c>
      <c r="H368" s="41">
        <f>400+50</f>
        <v>450</v>
      </c>
      <c r="I368" s="41">
        <v>0</v>
      </c>
      <c r="J368" s="41">
        <v>0</v>
      </c>
    </row>
    <row r="369" spans="1:10" ht="63.75" customHeight="1" x14ac:dyDescent="0.2">
      <c r="A369" s="1"/>
      <c r="B369" s="25"/>
      <c r="C369" s="82" t="s">
        <v>95</v>
      </c>
      <c r="D369" s="82" t="s">
        <v>93</v>
      </c>
      <c r="E369" s="74">
        <v>1210121100</v>
      </c>
      <c r="F369" s="21"/>
      <c r="G369" s="98" t="s">
        <v>673</v>
      </c>
      <c r="H369" s="41">
        <f>SUM(H370:H370)</f>
        <v>17226</v>
      </c>
      <c r="I369" s="41">
        <f>SUM(I370:I370)</f>
        <v>14144.9</v>
      </c>
      <c r="J369" s="41">
        <f>SUM(J370:J370)</f>
        <v>8944.9</v>
      </c>
    </row>
    <row r="370" spans="1:10" x14ac:dyDescent="0.2">
      <c r="A370" s="1"/>
      <c r="B370" s="25"/>
      <c r="C370" s="16" t="s">
        <v>95</v>
      </c>
      <c r="D370" s="82" t="s">
        <v>93</v>
      </c>
      <c r="E370" s="74">
        <v>1210121100</v>
      </c>
      <c r="F370" s="21" t="s">
        <v>225</v>
      </c>
      <c r="G370" s="98" t="s">
        <v>224</v>
      </c>
      <c r="H370" s="41">
        <v>17226</v>
      </c>
      <c r="I370" s="41">
        <f>14210.8-65.9</f>
        <v>14144.9</v>
      </c>
      <c r="J370" s="41">
        <f>9010.8-65.9</f>
        <v>8944.9</v>
      </c>
    </row>
    <row r="371" spans="1:10" ht="38.25" x14ac:dyDescent="0.2">
      <c r="A371" s="1"/>
      <c r="B371" s="25"/>
      <c r="C371" s="16" t="s">
        <v>95</v>
      </c>
      <c r="D371" s="82" t="s">
        <v>93</v>
      </c>
      <c r="E371" s="74">
        <v>1210121800</v>
      </c>
      <c r="F371" s="16"/>
      <c r="G371" s="98" t="s">
        <v>716</v>
      </c>
      <c r="H371" s="41">
        <f>H372</f>
        <v>3047</v>
      </c>
      <c r="I371" s="41">
        <f>I372</f>
        <v>0</v>
      </c>
      <c r="J371" s="41">
        <f>J372</f>
        <v>0</v>
      </c>
    </row>
    <row r="372" spans="1:10" x14ac:dyDescent="0.2">
      <c r="A372" s="1"/>
      <c r="B372" s="25"/>
      <c r="C372" s="82" t="s">
        <v>95</v>
      </c>
      <c r="D372" s="82" t="s">
        <v>93</v>
      </c>
      <c r="E372" s="74">
        <v>1210121800</v>
      </c>
      <c r="F372" s="21" t="s">
        <v>225</v>
      </c>
      <c r="G372" s="98" t="s">
        <v>224</v>
      </c>
      <c r="H372" s="41">
        <f>547+2500</f>
        <v>3047</v>
      </c>
      <c r="I372" s="41">
        <v>0</v>
      </c>
      <c r="J372" s="41">
        <v>0</v>
      </c>
    </row>
    <row r="373" spans="1:10" ht="23.25" customHeight="1" x14ac:dyDescent="0.2">
      <c r="A373" s="1"/>
      <c r="B373" s="25"/>
      <c r="C373" s="82" t="s">
        <v>95</v>
      </c>
      <c r="D373" s="82" t="s">
        <v>93</v>
      </c>
      <c r="E373" s="21" t="s">
        <v>289</v>
      </c>
      <c r="F373" s="82"/>
      <c r="G373" s="99" t="s">
        <v>290</v>
      </c>
      <c r="H373" s="41">
        <f>H374+H376</f>
        <v>6582.0999999999995</v>
      </c>
      <c r="I373" s="41">
        <f t="shared" ref="I373:J373" si="129">I374+I376</f>
        <v>6582.0999999999995</v>
      </c>
      <c r="J373" s="41">
        <f t="shared" si="129"/>
        <v>6582.0999999999995</v>
      </c>
    </row>
    <row r="374" spans="1:10" ht="39.75" customHeight="1" x14ac:dyDescent="0.2">
      <c r="A374" s="1"/>
      <c r="B374" s="25"/>
      <c r="C374" s="47" t="s">
        <v>95</v>
      </c>
      <c r="D374" s="47" t="s">
        <v>93</v>
      </c>
      <c r="E374" s="74">
        <v>1210211450</v>
      </c>
      <c r="F374" s="16"/>
      <c r="G374" s="98" t="s">
        <v>674</v>
      </c>
      <c r="H374" s="41">
        <f>H375</f>
        <v>6516.2</v>
      </c>
      <c r="I374" s="41">
        <f>I375</f>
        <v>6516.2</v>
      </c>
      <c r="J374" s="41">
        <f>J375</f>
        <v>6516.2</v>
      </c>
    </row>
    <row r="375" spans="1:10" ht="38.25" x14ac:dyDescent="0.2">
      <c r="A375" s="1"/>
      <c r="B375" s="25"/>
      <c r="C375" s="16" t="s">
        <v>95</v>
      </c>
      <c r="D375" s="82" t="s">
        <v>93</v>
      </c>
      <c r="E375" s="74">
        <v>1210211450</v>
      </c>
      <c r="F375" s="82" t="s">
        <v>211</v>
      </c>
      <c r="G375" s="98" t="s">
        <v>212</v>
      </c>
      <c r="H375" s="39">
        <v>6516.2</v>
      </c>
      <c r="I375" s="39">
        <v>6516.2</v>
      </c>
      <c r="J375" s="39">
        <v>6516.2</v>
      </c>
    </row>
    <row r="376" spans="1:10" ht="38.25" x14ac:dyDescent="0.2">
      <c r="A376" s="1"/>
      <c r="B376" s="25"/>
      <c r="C376" s="16" t="s">
        <v>95</v>
      </c>
      <c r="D376" s="82" t="s">
        <v>93</v>
      </c>
      <c r="E376" s="74" t="s">
        <v>680</v>
      </c>
      <c r="F376" s="21"/>
      <c r="G376" s="98" t="s">
        <v>674</v>
      </c>
      <c r="H376" s="39">
        <f>H377</f>
        <v>65.900000000000006</v>
      </c>
      <c r="I376" s="39">
        <f t="shared" ref="I376:J376" si="130">I377</f>
        <v>65.900000000000006</v>
      </c>
      <c r="J376" s="39">
        <f t="shared" si="130"/>
        <v>65.900000000000006</v>
      </c>
    </row>
    <row r="377" spans="1:10" ht="38.25" x14ac:dyDescent="0.2">
      <c r="A377" s="1"/>
      <c r="B377" s="25"/>
      <c r="C377" s="82" t="s">
        <v>95</v>
      </c>
      <c r="D377" s="82" t="s">
        <v>93</v>
      </c>
      <c r="E377" s="74" t="s">
        <v>680</v>
      </c>
      <c r="F377" s="82" t="s">
        <v>211</v>
      </c>
      <c r="G377" s="98" t="s">
        <v>212</v>
      </c>
      <c r="H377" s="39">
        <v>65.900000000000006</v>
      </c>
      <c r="I377" s="39">
        <v>65.900000000000006</v>
      </c>
      <c r="J377" s="39">
        <v>65.900000000000006</v>
      </c>
    </row>
    <row r="378" spans="1:10" ht="25.5" x14ac:dyDescent="0.2">
      <c r="A378" s="1"/>
      <c r="B378" s="25"/>
      <c r="C378" s="16" t="s">
        <v>95</v>
      </c>
      <c r="D378" s="82" t="s">
        <v>93</v>
      </c>
      <c r="E378" s="21" t="s">
        <v>770</v>
      </c>
      <c r="F378" s="82"/>
      <c r="G378" s="177" t="s">
        <v>771</v>
      </c>
      <c r="H378" s="39">
        <f>H379+H381</f>
        <v>54338.100000000006</v>
      </c>
      <c r="I378" s="39">
        <f t="shared" ref="I378:J378" si="131">I379+I381</f>
        <v>0</v>
      </c>
      <c r="J378" s="39">
        <f t="shared" si="131"/>
        <v>0</v>
      </c>
    </row>
    <row r="379" spans="1:10" ht="25.5" x14ac:dyDescent="0.2">
      <c r="A379" s="1"/>
      <c r="B379" s="25"/>
      <c r="C379" s="16" t="s">
        <v>95</v>
      </c>
      <c r="D379" s="82" t="s">
        <v>93</v>
      </c>
      <c r="E379" s="21" t="s">
        <v>772</v>
      </c>
      <c r="F379" s="82"/>
      <c r="G379" s="98" t="s">
        <v>773</v>
      </c>
      <c r="H379" s="39">
        <f>H380</f>
        <v>28181.4</v>
      </c>
      <c r="I379" s="39">
        <f t="shared" ref="I379:J379" si="132">I380</f>
        <v>0</v>
      </c>
      <c r="J379" s="39">
        <f t="shared" si="132"/>
        <v>0</v>
      </c>
    </row>
    <row r="380" spans="1:10" ht="38.25" x14ac:dyDescent="0.2">
      <c r="A380" s="1"/>
      <c r="B380" s="25"/>
      <c r="C380" s="82" t="s">
        <v>95</v>
      </c>
      <c r="D380" s="82" t="s">
        <v>93</v>
      </c>
      <c r="E380" s="21" t="s">
        <v>772</v>
      </c>
      <c r="F380" s="82" t="s">
        <v>211</v>
      </c>
      <c r="G380" s="98" t="s">
        <v>212</v>
      </c>
      <c r="H380" s="39">
        <v>28181.4</v>
      </c>
      <c r="I380" s="39">
        <v>0</v>
      </c>
      <c r="J380" s="39">
        <v>0</v>
      </c>
    </row>
    <row r="381" spans="1:10" ht="25.5" x14ac:dyDescent="0.2">
      <c r="A381" s="1"/>
      <c r="B381" s="25"/>
      <c r="C381" s="16" t="s">
        <v>95</v>
      </c>
      <c r="D381" s="82" t="s">
        <v>93</v>
      </c>
      <c r="E381" s="21" t="s">
        <v>774</v>
      </c>
      <c r="F381" s="82"/>
      <c r="G381" s="98" t="s">
        <v>773</v>
      </c>
      <c r="H381" s="39">
        <f>H382</f>
        <v>26156.7</v>
      </c>
      <c r="I381" s="39">
        <f t="shared" ref="I381:J381" si="133">I382</f>
        <v>0</v>
      </c>
      <c r="J381" s="39">
        <f t="shared" si="133"/>
        <v>0</v>
      </c>
    </row>
    <row r="382" spans="1:10" ht="38.25" x14ac:dyDescent="0.2">
      <c r="A382" s="1"/>
      <c r="B382" s="25"/>
      <c r="C382" s="82" t="s">
        <v>95</v>
      </c>
      <c r="D382" s="82" t="s">
        <v>93</v>
      </c>
      <c r="E382" s="21" t="s">
        <v>774</v>
      </c>
      <c r="F382" s="82" t="s">
        <v>211</v>
      </c>
      <c r="G382" s="98" t="s">
        <v>212</v>
      </c>
      <c r="H382" s="39">
        <v>26156.7</v>
      </c>
      <c r="I382" s="39">
        <v>0</v>
      </c>
      <c r="J382" s="39">
        <v>0</v>
      </c>
    </row>
    <row r="383" spans="1:10" ht="25.5" x14ac:dyDescent="0.2">
      <c r="A383" s="1"/>
      <c r="B383" s="25"/>
      <c r="C383" s="82" t="s">
        <v>95</v>
      </c>
      <c r="D383" s="82" t="s">
        <v>93</v>
      </c>
      <c r="E383" s="52" t="s">
        <v>57</v>
      </c>
      <c r="F383" s="47"/>
      <c r="G383" s="48" t="s">
        <v>25</v>
      </c>
      <c r="H383" s="93">
        <f>H384+H388</f>
        <v>2678.2</v>
      </c>
      <c r="I383" s="93">
        <f t="shared" ref="I383:J383" si="134">I384+I388</f>
        <v>1325</v>
      </c>
      <c r="J383" s="93">
        <f t="shared" si="134"/>
        <v>850</v>
      </c>
    </row>
    <row r="384" spans="1:10" ht="15" customHeight="1" x14ac:dyDescent="0.2">
      <c r="A384" s="1"/>
      <c r="B384" s="25"/>
      <c r="C384" s="82" t="s">
        <v>95</v>
      </c>
      <c r="D384" s="82" t="s">
        <v>93</v>
      </c>
      <c r="E384" s="21" t="s">
        <v>238</v>
      </c>
      <c r="F384" s="47"/>
      <c r="G384" s="99" t="s">
        <v>239</v>
      </c>
      <c r="H384" s="39">
        <f t="shared" ref="H384:J385" si="135">H385</f>
        <v>2678.2</v>
      </c>
      <c r="I384" s="39">
        <f t="shared" si="135"/>
        <v>850</v>
      </c>
      <c r="J384" s="39">
        <f t="shared" si="135"/>
        <v>850</v>
      </c>
    </row>
    <row r="385" spans="1:10" ht="27" customHeight="1" x14ac:dyDescent="0.2">
      <c r="A385" s="1"/>
      <c r="B385" s="25"/>
      <c r="C385" s="82" t="s">
        <v>95</v>
      </c>
      <c r="D385" s="82" t="s">
        <v>93</v>
      </c>
      <c r="E385" s="79">
        <v>1220123525</v>
      </c>
      <c r="F385" s="16"/>
      <c r="G385" s="98" t="s">
        <v>190</v>
      </c>
      <c r="H385" s="41">
        <f t="shared" si="135"/>
        <v>2678.2</v>
      </c>
      <c r="I385" s="41">
        <f t="shared" si="135"/>
        <v>850</v>
      </c>
      <c r="J385" s="41">
        <f t="shared" si="135"/>
        <v>850</v>
      </c>
    </row>
    <row r="386" spans="1:10" ht="38.25" x14ac:dyDescent="0.2">
      <c r="A386" s="1"/>
      <c r="B386" s="25"/>
      <c r="C386" s="82" t="s">
        <v>95</v>
      </c>
      <c r="D386" s="82" t="s">
        <v>93</v>
      </c>
      <c r="E386" s="79">
        <v>1220123525</v>
      </c>
      <c r="F386" s="82" t="s">
        <v>211</v>
      </c>
      <c r="G386" s="98" t="s">
        <v>212</v>
      </c>
      <c r="H386" s="41">
        <v>2678.2</v>
      </c>
      <c r="I386" s="41">
        <v>850</v>
      </c>
      <c r="J386" s="41">
        <v>850</v>
      </c>
    </row>
    <row r="387" spans="1:10" ht="38.25" x14ac:dyDescent="0.2">
      <c r="A387" s="1"/>
      <c r="B387" s="25"/>
      <c r="C387" s="82" t="s">
        <v>95</v>
      </c>
      <c r="D387" s="82" t="s">
        <v>93</v>
      </c>
      <c r="E387" s="21" t="s">
        <v>519</v>
      </c>
      <c r="F387" s="82"/>
      <c r="G387" s="99" t="s">
        <v>518</v>
      </c>
      <c r="H387" s="41">
        <f>H388</f>
        <v>0</v>
      </c>
      <c r="I387" s="41">
        <f t="shared" ref="I387:J387" si="136">I388</f>
        <v>475</v>
      </c>
      <c r="J387" s="41">
        <f t="shared" si="136"/>
        <v>0</v>
      </c>
    </row>
    <row r="388" spans="1:10" ht="25.5" x14ac:dyDescent="0.2">
      <c r="A388" s="1"/>
      <c r="B388" s="25"/>
      <c r="C388" s="82" t="s">
        <v>95</v>
      </c>
      <c r="D388" s="82" t="s">
        <v>93</v>
      </c>
      <c r="E388" s="79">
        <v>1220223530</v>
      </c>
      <c r="F388" s="16"/>
      <c r="G388" s="98" t="s">
        <v>191</v>
      </c>
      <c r="H388" s="41">
        <f>H389</f>
        <v>0</v>
      </c>
      <c r="I388" s="41">
        <f>I389</f>
        <v>475</v>
      </c>
      <c r="J388" s="41">
        <f>J389</f>
        <v>0</v>
      </c>
    </row>
    <row r="389" spans="1:10" ht="38.25" x14ac:dyDescent="0.2">
      <c r="A389" s="1"/>
      <c r="B389" s="25"/>
      <c r="C389" s="82" t="s">
        <v>95</v>
      </c>
      <c r="D389" s="82" t="s">
        <v>93</v>
      </c>
      <c r="E389" s="79">
        <v>1220223530</v>
      </c>
      <c r="F389" s="82" t="s">
        <v>211</v>
      </c>
      <c r="G389" s="98" t="s">
        <v>212</v>
      </c>
      <c r="H389" s="39">
        <v>0</v>
      </c>
      <c r="I389" s="39">
        <v>475</v>
      </c>
      <c r="J389" s="39">
        <v>0</v>
      </c>
    </row>
    <row r="390" spans="1:10" ht="38.25" x14ac:dyDescent="0.2">
      <c r="A390" s="1"/>
      <c r="B390" s="25"/>
      <c r="C390" s="82" t="s">
        <v>95</v>
      </c>
      <c r="D390" s="82" t="s">
        <v>93</v>
      </c>
      <c r="E390" s="52" t="s">
        <v>58</v>
      </c>
      <c r="F390" s="47"/>
      <c r="G390" s="48" t="s">
        <v>608</v>
      </c>
      <c r="H390" s="93">
        <f>H391</f>
        <v>2692.8</v>
      </c>
      <c r="I390" s="93">
        <f t="shared" ref="I390:J390" si="137">I391</f>
        <v>107</v>
      </c>
      <c r="J390" s="93">
        <f t="shared" si="137"/>
        <v>107</v>
      </c>
    </row>
    <row r="391" spans="1:10" ht="51" x14ac:dyDescent="0.2">
      <c r="A391" s="1"/>
      <c r="B391" s="25"/>
      <c r="C391" s="82" t="s">
        <v>95</v>
      </c>
      <c r="D391" s="82" t="s">
        <v>93</v>
      </c>
      <c r="E391" s="21" t="s">
        <v>240</v>
      </c>
      <c r="F391" s="47"/>
      <c r="G391" s="99" t="s">
        <v>241</v>
      </c>
      <c r="H391" s="39">
        <f>H392+H395+H397</f>
        <v>2692.8</v>
      </c>
      <c r="I391" s="39">
        <f t="shared" ref="I391:J391" si="138">I392+I395+I397</f>
        <v>107</v>
      </c>
      <c r="J391" s="39">
        <f t="shared" si="138"/>
        <v>107</v>
      </c>
    </row>
    <row r="392" spans="1:10" ht="25.5" x14ac:dyDescent="0.2">
      <c r="A392" s="1"/>
      <c r="B392" s="25"/>
      <c r="C392" s="82" t="s">
        <v>95</v>
      </c>
      <c r="D392" s="82" t="s">
        <v>93</v>
      </c>
      <c r="E392" s="21" t="s">
        <v>701</v>
      </c>
      <c r="F392" s="16"/>
      <c r="G392" s="98" t="s">
        <v>702</v>
      </c>
      <c r="H392" s="214">
        <f>SUM(H393:H394)</f>
        <v>1270.1000000000001</v>
      </c>
      <c r="I392" s="41">
        <f t="shared" ref="I392:J392" si="139">I393</f>
        <v>0</v>
      </c>
      <c r="J392" s="41">
        <f t="shared" si="139"/>
        <v>0</v>
      </c>
    </row>
    <row r="393" spans="1:10" ht="38.25" x14ac:dyDescent="0.2">
      <c r="A393" s="1"/>
      <c r="B393" s="25"/>
      <c r="C393" s="82" t="s">
        <v>95</v>
      </c>
      <c r="D393" s="82" t="s">
        <v>93</v>
      </c>
      <c r="E393" s="21" t="s">
        <v>701</v>
      </c>
      <c r="F393" s="82" t="s">
        <v>211</v>
      </c>
      <c r="G393" s="98" t="s">
        <v>212</v>
      </c>
      <c r="H393" s="41">
        <f>282.8+841.1</f>
        <v>1123.9000000000001</v>
      </c>
      <c r="I393" s="39">
        <v>0</v>
      </c>
      <c r="J393" s="39">
        <v>0</v>
      </c>
    </row>
    <row r="394" spans="1:10" s="200" customFormat="1" x14ac:dyDescent="0.2">
      <c r="A394" s="1"/>
      <c r="B394" s="25"/>
      <c r="C394" s="82" t="s">
        <v>95</v>
      </c>
      <c r="D394" s="82" t="s">
        <v>93</v>
      </c>
      <c r="E394" s="21" t="s">
        <v>701</v>
      </c>
      <c r="F394" s="82" t="s">
        <v>748</v>
      </c>
      <c r="G394" s="173" t="s">
        <v>749</v>
      </c>
      <c r="H394" s="41">
        <v>146.19999999999999</v>
      </c>
      <c r="I394" s="39">
        <v>0</v>
      </c>
      <c r="J394" s="39">
        <v>0</v>
      </c>
    </row>
    <row r="395" spans="1:10" ht="25.5" x14ac:dyDescent="0.2">
      <c r="A395" s="1"/>
      <c r="B395" s="25"/>
      <c r="C395" s="82" t="s">
        <v>95</v>
      </c>
      <c r="D395" s="82" t="s">
        <v>93</v>
      </c>
      <c r="E395" s="21" t="s">
        <v>520</v>
      </c>
      <c r="F395" s="16"/>
      <c r="G395" s="98" t="s">
        <v>23</v>
      </c>
      <c r="H395" s="41">
        <f>H396</f>
        <v>1259.7</v>
      </c>
      <c r="I395" s="41">
        <f>I396</f>
        <v>100</v>
      </c>
      <c r="J395" s="41">
        <f>J396</f>
        <v>100</v>
      </c>
    </row>
    <row r="396" spans="1:10" ht="38.25" x14ac:dyDescent="0.2">
      <c r="A396" s="1"/>
      <c r="B396" s="25"/>
      <c r="C396" s="82" t="s">
        <v>95</v>
      </c>
      <c r="D396" s="82" t="s">
        <v>93</v>
      </c>
      <c r="E396" s="21" t="s">
        <v>520</v>
      </c>
      <c r="F396" s="82" t="s">
        <v>211</v>
      </c>
      <c r="G396" s="98" t="s">
        <v>212</v>
      </c>
      <c r="H396" s="41">
        <f>2062.9-153.2-600-50</f>
        <v>1259.7</v>
      </c>
      <c r="I396" s="41">
        <v>100</v>
      </c>
      <c r="J396" s="41">
        <v>100</v>
      </c>
    </row>
    <row r="397" spans="1:10" ht="25.5" x14ac:dyDescent="0.2">
      <c r="A397" s="1"/>
      <c r="B397" s="25"/>
      <c r="C397" s="82" t="s">
        <v>95</v>
      </c>
      <c r="D397" s="82" t="s">
        <v>93</v>
      </c>
      <c r="E397" s="21" t="s">
        <v>521</v>
      </c>
      <c r="F397" s="16"/>
      <c r="G397" s="98" t="s">
        <v>192</v>
      </c>
      <c r="H397" s="41">
        <f>H398</f>
        <v>163</v>
      </c>
      <c r="I397" s="41">
        <f>I398</f>
        <v>7</v>
      </c>
      <c r="J397" s="41">
        <f>J398</f>
        <v>7</v>
      </c>
    </row>
    <row r="398" spans="1:10" ht="38.25" x14ac:dyDescent="0.2">
      <c r="A398" s="1"/>
      <c r="B398" s="25"/>
      <c r="C398" s="82" t="s">
        <v>95</v>
      </c>
      <c r="D398" s="82" t="s">
        <v>93</v>
      </c>
      <c r="E398" s="21" t="s">
        <v>521</v>
      </c>
      <c r="F398" s="82" t="s">
        <v>211</v>
      </c>
      <c r="G398" s="98" t="s">
        <v>212</v>
      </c>
      <c r="H398" s="41">
        <v>163</v>
      </c>
      <c r="I398" s="41">
        <v>7</v>
      </c>
      <c r="J398" s="41">
        <v>7</v>
      </c>
    </row>
    <row r="399" spans="1:10" ht="51" x14ac:dyDescent="0.2">
      <c r="A399" s="1"/>
      <c r="B399" s="25"/>
      <c r="C399" s="82" t="s">
        <v>95</v>
      </c>
      <c r="D399" s="82" t="s">
        <v>93</v>
      </c>
      <c r="E399" s="52" t="s">
        <v>522</v>
      </c>
      <c r="F399" s="16"/>
      <c r="G399" s="60" t="s">
        <v>523</v>
      </c>
      <c r="H399" s="41">
        <f>H400</f>
        <v>18026.900000000001</v>
      </c>
      <c r="I399" s="41">
        <f t="shared" ref="I399:J399" si="140">I400</f>
        <v>8657.5</v>
      </c>
      <c r="J399" s="41">
        <f t="shared" si="140"/>
        <v>14357.5</v>
      </c>
    </row>
    <row r="400" spans="1:10" ht="51" x14ac:dyDescent="0.2">
      <c r="A400" s="1"/>
      <c r="B400" s="25"/>
      <c r="C400" s="82" t="s">
        <v>95</v>
      </c>
      <c r="D400" s="82" t="s">
        <v>93</v>
      </c>
      <c r="E400" s="21" t="s">
        <v>524</v>
      </c>
      <c r="F400" s="16"/>
      <c r="G400" s="98" t="s">
        <v>647</v>
      </c>
      <c r="H400" s="41">
        <f>H401+H403+H405</f>
        <v>18026.900000000001</v>
      </c>
      <c r="I400" s="41">
        <f t="shared" ref="I400:J400" si="141">I401+I403+I405</f>
        <v>8657.5</v>
      </c>
      <c r="J400" s="41">
        <f t="shared" si="141"/>
        <v>14357.5</v>
      </c>
    </row>
    <row r="401" spans="1:10" ht="38.25" x14ac:dyDescent="0.2">
      <c r="A401" s="1"/>
      <c r="B401" s="25"/>
      <c r="C401" s="82" t="s">
        <v>95</v>
      </c>
      <c r="D401" s="82" t="s">
        <v>93</v>
      </c>
      <c r="E401" s="21" t="s">
        <v>525</v>
      </c>
      <c r="F401" s="82"/>
      <c r="G401" s="98" t="s">
        <v>526</v>
      </c>
      <c r="H401" s="41">
        <f t="shared" ref="H401:J401" si="142">H402</f>
        <v>9844</v>
      </c>
      <c r="I401" s="41">
        <f t="shared" si="142"/>
        <v>3800</v>
      </c>
      <c r="J401" s="41">
        <f t="shared" si="142"/>
        <v>9500</v>
      </c>
    </row>
    <row r="402" spans="1:10" ht="38.25" x14ac:dyDescent="0.2">
      <c r="A402" s="1"/>
      <c r="B402" s="25"/>
      <c r="C402" s="82" t="s">
        <v>95</v>
      </c>
      <c r="D402" s="82" t="s">
        <v>93</v>
      </c>
      <c r="E402" s="21" t="s">
        <v>525</v>
      </c>
      <c r="F402" s="82" t="s">
        <v>211</v>
      </c>
      <c r="G402" s="98" t="s">
        <v>212</v>
      </c>
      <c r="H402" s="41">
        <v>9844</v>
      </c>
      <c r="I402" s="41">
        <v>3800</v>
      </c>
      <c r="J402" s="41">
        <v>9500</v>
      </c>
    </row>
    <row r="403" spans="1:10" ht="19.5" customHeight="1" x14ac:dyDescent="0.2">
      <c r="A403" s="1"/>
      <c r="B403" s="25"/>
      <c r="C403" s="16" t="s">
        <v>95</v>
      </c>
      <c r="D403" s="16" t="s">
        <v>93</v>
      </c>
      <c r="E403" s="21" t="s">
        <v>766</v>
      </c>
      <c r="F403" s="82"/>
      <c r="G403" s="98" t="s">
        <v>767</v>
      </c>
      <c r="H403" s="41">
        <f>H404</f>
        <v>483.1</v>
      </c>
      <c r="I403" s="41">
        <f t="shared" ref="I403:J403" si="143">I404</f>
        <v>0</v>
      </c>
      <c r="J403" s="41">
        <f t="shared" si="143"/>
        <v>0</v>
      </c>
    </row>
    <row r="404" spans="1:10" ht="38.25" x14ac:dyDescent="0.2">
      <c r="A404" s="1"/>
      <c r="B404" s="25"/>
      <c r="C404" s="16" t="s">
        <v>95</v>
      </c>
      <c r="D404" s="16" t="s">
        <v>93</v>
      </c>
      <c r="E404" s="21" t="s">
        <v>766</v>
      </c>
      <c r="F404" s="82" t="s">
        <v>211</v>
      </c>
      <c r="G404" s="98" t="s">
        <v>212</v>
      </c>
      <c r="H404" s="41">
        <f>241.5+241.6</f>
        <v>483.1</v>
      </c>
      <c r="I404" s="41">
        <v>0</v>
      </c>
      <c r="J404" s="41">
        <v>0</v>
      </c>
    </row>
    <row r="405" spans="1:10" ht="89.25" x14ac:dyDescent="0.2">
      <c r="A405" s="1"/>
      <c r="B405" s="25"/>
      <c r="C405" s="82" t="s">
        <v>95</v>
      </c>
      <c r="D405" s="82" t="s">
        <v>93</v>
      </c>
      <c r="E405" s="21" t="s">
        <v>675</v>
      </c>
      <c r="F405" s="82"/>
      <c r="G405" s="98" t="s">
        <v>676</v>
      </c>
      <c r="H405" s="41">
        <f>H406</f>
        <v>7699.8</v>
      </c>
      <c r="I405" s="41">
        <f t="shared" ref="I405:J405" si="144">I406</f>
        <v>4857.5</v>
      </c>
      <c r="J405" s="41">
        <f t="shared" si="144"/>
        <v>4857.5</v>
      </c>
    </row>
    <row r="406" spans="1:10" x14ac:dyDescent="0.2">
      <c r="A406" s="1"/>
      <c r="B406" s="25"/>
      <c r="C406" s="82" t="s">
        <v>95</v>
      </c>
      <c r="D406" s="82" t="s">
        <v>93</v>
      </c>
      <c r="E406" s="21" t="s">
        <v>675</v>
      </c>
      <c r="F406" s="21" t="s">
        <v>225</v>
      </c>
      <c r="G406" s="98" t="s">
        <v>224</v>
      </c>
      <c r="H406" s="41">
        <v>7699.8</v>
      </c>
      <c r="I406" s="41">
        <v>4857.5</v>
      </c>
      <c r="J406" s="41">
        <v>4857.5</v>
      </c>
    </row>
    <row r="407" spans="1:10" ht="89.25" x14ac:dyDescent="0.2">
      <c r="A407" s="1"/>
      <c r="B407" s="25"/>
      <c r="C407" s="5" t="s">
        <v>95</v>
      </c>
      <c r="D407" s="5" t="s">
        <v>93</v>
      </c>
      <c r="E407" s="76">
        <v>1400000000</v>
      </c>
      <c r="F407" s="16"/>
      <c r="G407" s="141" t="s">
        <v>586</v>
      </c>
      <c r="H407" s="96">
        <f>H408</f>
        <v>127117.7</v>
      </c>
      <c r="I407" s="96">
        <f t="shared" ref="I407:J407" si="145">I408</f>
        <v>0</v>
      </c>
      <c r="J407" s="96">
        <f t="shared" si="145"/>
        <v>0</v>
      </c>
    </row>
    <row r="408" spans="1:10" ht="89.25" x14ac:dyDescent="0.2">
      <c r="A408" s="1"/>
      <c r="B408" s="25"/>
      <c r="C408" s="47" t="s">
        <v>95</v>
      </c>
      <c r="D408" s="47" t="s">
        <v>93</v>
      </c>
      <c r="E408" s="75">
        <v>1410000000</v>
      </c>
      <c r="F408" s="16"/>
      <c r="G408" s="48" t="s">
        <v>216</v>
      </c>
      <c r="H408" s="93">
        <f>H409+H414</f>
        <v>127117.7</v>
      </c>
      <c r="I408" s="93">
        <f>I409+I414</f>
        <v>0</v>
      </c>
      <c r="J408" s="93">
        <f>J409+J414</f>
        <v>0</v>
      </c>
    </row>
    <row r="409" spans="1:10" ht="102" x14ac:dyDescent="0.2">
      <c r="A409" s="1"/>
      <c r="B409" s="25"/>
      <c r="C409" s="16" t="s">
        <v>95</v>
      </c>
      <c r="D409" s="16" t="s">
        <v>93</v>
      </c>
      <c r="E409" s="74">
        <v>1410200000</v>
      </c>
      <c r="F409" s="16"/>
      <c r="G409" s="98" t="s">
        <v>363</v>
      </c>
      <c r="H409" s="41">
        <f>H410+H412</f>
        <v>19594.5</v>
      </c>
      <c r="I409" s="41">
        <f t="shared" ref="I409:J409" si="146">I410+I412</f>
        <v>0</v>
      </c>
      <c r="J409" s="41">
        <f t="shared" si="146"/>
        <v>0</v>
      </c>
    </row>
    <row r="410" spans="1:10" ht="38.25" x14ac:dyDescent="0.2">
      <c r="A410" s="1"/>
      <c r="B410" s="25"/>
      <c r="C410" s="82" t="s">
        <v>95</v>
      </c>
      <c r="D410" s="82" t="s">
        <v>93</v>
      </c>
      <c r="E410" s="74">
        <v>1410223125</v>
      </c>
      <c r="F410" s="82"/>
      <c r="G410" s="98" t="s">
        <v>639</v>
      </c>
      <c r="H410" s="41">
        <f>H411</f>
        <v>676.30000000000007</v>
      </c>
      <c r="I410" s="41">
        <f>I411</f>
        <v>0</v>
      </c>
      <c r="J410" s="41">
        <f>J411</f>
        <v>0</v>
      </c>
    </row>
    <row r="411" spans="1:10" ht="38.25" x14ac:dyDescent="0.2">
      <c r="A411" s="1"/>
      <c r="B411" s="25"/>
      <c r="C411" s="82" t="s">
        <v>95</v>
      </c>
      <c r="D411" s="82" t="s">
        <v>93</v>
      </c>
      <c r="E411" s="74">
        <v>1410223125</v>
      </c>
      <c r="F411" s="82" t="s">
        <v>211</v>
      </c>
      <c r="G411" s="98" t="s">
        <v>212</v>
      </c>
      <c r="H411" s="41">
        <f>685.6-9.3</f>
        <v>676.30000000000007</v>
      </c>
      <c r="I411" s="41">
        <v>0</v>
      </c>
      <c r="J411" s="41">
        <v>0</v>
      </c>
    </row>
    <row r="412" spans="1:10" ht="25.5" x14ac:dyDescent="0.2">
      <c r="A412" s="1"/>
      <c r="B412" s="25"/>
      <c r="C412" s="82" t="s">
        <v>95</v>
      </c>
      <c r="D412" s="82" t="s">
        <v>93</v>
      </c>
      <c r="E412" s="74">
        <v>1410223130</v>
      </c>
      <c r="F412" s="82"/>
      <c r="G412" s="108" t="s">
        <v>640</v>
      </c>
      <c r="H412" s="41">
        <f>H413</f>
        <v>18918.2</v>
      </c>
      <c r="I412" s="41">
        <f t="shared" ref="I412:J412" si="147">I413</f>
        <v>0</v>
      </c>
      <c r="J412" s="41">
        <f t="shared" si="147"/>
        <v>0</v>
      </c>
    </row>
    <row r="413" spans="1:10" ht="38.25" x14ac:dyDescent="0.2">
      <c r="A413" s="1"/>
      <c r="B413" s="25"/>
      <c r="C413" s="82" t="s">
        <v>95</v>
      </c>
      <c r="D413" s="82" t="s">
        <v>93</v>
      </c>
      <c r="E413" s="74">
        <v>1410223130</v>
      </c>
      <c r="F413" s="82" t="s">
        <v>211</v>
      </c>
      <c r="G413" s="98" t="s">
        <v>212</v>
      </c>
      <c r="H413" s="41">
        <f>14930.6-930.6+4918.2</f>
        <v>18918.2</v>
      </c>
      <c r="I413" s="41">
        <v>0</v>
      </c>
      <c r="J413" s="41">
        <v>0</v>
      </c>
    </row>
    <row r="414" spans="1:10" ht="51" x14ac:dyDescent="0.2">
      <c r="A414" s="1"/>
      <c r="B414" s="25"/>
      <c r="C414" s="16" t="s">
        <v>95</v>
      </c>
      <c r="D414" s="16" t="s">
        <v>93</v>
      </c>
      <c r="E414" s="74" t="s">
        <v>376</v>
      </c>
      <c r="F414" s="82"/>
      <c r="G414" s="98" t="s">
        <v>377</v>
      </c>
      <c r="H414" s="41">
        <f>H415+H417</f>
        <v>107523.2</v>
      </c>
      <c r="I414" s="41">
        <f t="shared" ref="I414:J414" si="148">I415</f>
        <v>0</v>
      </c>
      <c r="J414" s="41">
        <f t="shared" si="148"/>
        <v>0</v>
      </c>
    </row>
    <row r="415" spans="1:10" ht="38.25" x14ac:dyDescent="0.2">
      <c r="A415" s="1"/>
      <c r="B415" s="25"/>
      <c r="C415" s="16" t="s">
        <v>95</v>
      </c>
      <c r="D415" s="16" t="s">
        <v>93</v>
      </c>
      <c r="E415" s="74" t="s">
        <v>349</v>
      </c>
      <c r="F415" s="16"/>
      <c r="G415" s="98" t="s">
        <v>316</v>
      </c>
      <c r="H415" s="41">
        <f>H416</f>
        <v>13527.6</v>
      </c>
      <c r="I415" s="41">
        <f>I416</f>
        <v>0</v>
      </c>
      <c r="J415" s="41">
        <f>J416</f>
        <v>0</v>
      </c>
    </row>
    <row r="416" spans="1:10" ht="38.25" x14ac:dyDescent="0.2">
      <c r="A416" s="1"/>
      <c r="B416" s="25"/>
      <c r="C416" s="82" t="s">
        <v>95</v>
      </c>
      <c r="D416" s="16" t="s">
        <v>93</v>
      </c>
      <c r="E416" s="74" t="s">
        <v>349</v>
      </c>
      <c r="F416" s="82" t="s">
        <v>211</v>
      </c>
      <c r="G416" s="98" t="s">
        <v>212</v>
      </c>
      <c r="H416" s="41">
        <v>13527.6</v>
      </c>
      <c r="I416" s="41">
        <v>0</v>
      </c>
      <c r="J416" s="41">
        <v>0</v>
      </c>
    </row>
    <row r="417" spans="1:10" ht="63.75" x14ac:dyDescent="0.2">
      <c r="A417" s="1"/>
      <c r="B417" s="25"/>
      <c r="C417" s="16" t="s">
        <v>95</v>
      </c>
      <c r="D417" s="16" t="s">
        <v>93</v>
      </c>
      <c r="E417" s="129" t="s">
        <v>664</v>
      </c>
      <c r="F417" s="16"/>
      <c r="G417" s="98" t="s">
        <v>665</v>
      </c>
      <c r="H417" s="41">
        <f>H418</f>
        <v>93995.599999999991</v>
      </c>
      <c r="I417" s="41">
        <f>I418</f>
        <v>0</v>
      </c>
      <c r="J417" s="41">
        <f>J418</f>
        <v>0</v>
      </c>
    </row>
    <row r="418" spans="1:10" x14ac:dyDescent="0.2">
      <c r="A418" s="1"/>
      <c r="B418" s="25"/>
      <c r="C418" s="82" t="s">
        <v>95</v>
      </c>
      <c r="D418" s="16" t="s">
        <v>93</v>
      </c>
      <c r="E418" s="129" t="s">
        <v>664</v>
      </c>
      <c r="F418" s="21" t="s">
        <v>225</v>
      </c>
      <c r="G418" s="98" t="s">
        <v>224</v>
      </c>
      <c r="H418" s="41">
        <f>93055.7+939.9</f>
        <v>93995.599999999991</v>
      </c>
      <c r="I418" s="41">
        <v>0</v>
      </c>
      <c r="J418" s="41">
        <v>0</v>
      </c>
    </row>
    <row r="419" spans="1:10" ht="127.5" x14ac:dyDescent="0.2">
      <c r="A419" s="1"/>
      <c r="B419" s="25"/>
      <c r="C419" s="5" t="s">
        <v>95</v>
      </c>
      <c r="D419" s="5" t="s">
        <v>93</v>
      </c>
      <c r="E419" s="73" t="s">
        <v>540</v>
      </c>
      <c r="F419" s="82"/>
      <c r="G419" s="141" t="s">
        <v>587</v>
      </c>
      <c r="H419" s="96">
        <f>H420+H424</f>
        <v>21285.599999999999</v>
      </c>
      <c r="I419" s="96">
        <f t="shared" ref="I419:J419" si="149">I420</f>
        <v>300</v>
      </c>
      <c r="J419" s="96">
        <f t="shared" si="149"/>
        <v>300</v>
      </c>
    </row>
    <row r="420" spans="1:10" ht="54.75" customHeight="1" x14ac:dyDescent="0.2">
      <c r="A420" s="1"/>
      <c r="B420" s="25"/>
      <c r="C420" s="47" t="s">
        <v>95</v>
      </c>
      <c r="D420" s="47" t="s">
        <v>93</v>
      </c>
      <c r="E420" s="140">
        <v>1510000000</v>
      </c>
      <c r="F420" s="82"/>
      <c r="G420" s="48" t="s">
        <v>361</v>
      </c>
      <c r="H420" s="41">
        <f>H421</f>
        <v>0</v>
      </c>
      <c r="I420" s="41">
        <f t="shared" ref="I420:J421" si="150">I421</f>
        <v>300</v>
      </c>
      <c r="J420" s="41">
        <f t="shared" si="150"/>
        <v>300</v>
      </c>
    </row>
    <row r="421" spans="1:10" ht="51" x14ac:dyDescent="0.2">
      <c r="A421" s="1"/>
      <c r="B421" s="25"/>
      <c r="C421" s="82" t="s">
        <v>95</v>
      </c>
      <c r="D421" s="16" t="s">
        <v>93</v>
      </c>
      <c r="E421" s="129">
        <v>1510300000</v>
      </c>
      <c r="F421" s="82"/>
      <c r="G421" s="98" t="s">
        <v>541</v>
      </c>
      <c r="H421" s="41">
        <f>H422</f>
        <v>0</v>
      </c>
      <c r="I421" s="41">
        <f t="shared" si="150"/>
        <v>300</v>
      </c>
      <c r="J421" s="41">
        <f t="shared" si="150"/>
        <v>300</v>
      </c>
    </row>
    <row r="422" spans="1:10" ht="52.5" customHeight="1" x14ac:dyDescent="0.2">
      <c r="A422" s="1"/>
      <c r="B422" s="25"/>
      <c r="C422" s="166" t="s">
        <v>95</v>
      </c>
      <c r="D422" s="167" t="s">
        <v>93</v>
      </c>
      <c r="E422" s="168" t="s">
        <v>728</v>
      </c>
      <c r="F422" s="82"/>
      <c r="G422" s="99" t="s">
        <v>729</v>
      </c>
      <c r="H422" s="41">
        <f>H423</f>
        <v>0</v>
      </c>
      <c r="I422" s="41">
        <f t="shared" ref="I422:J422" si="151">I423</f>
        <v>300</v>
      </c>
      <c r="J422" s="41">
        <f t="shared" si="151"/>
        <v>300</v>
      </c>
    </row>
    <row r="423" spans="1:10" ht="38.25" x14ac:dyDescent="0.2">
      <c r="A423" s="1"/>
      <c r="B423" s="25"/>
      <c r="C423" s="166" t="s">
        <v>95</v>
      </c>
      <c r="D423" s="167" t="s">
        <v>93</v>
      </c>
      <c r="E423" s="168" t="s">
        <v>728</v>
      </c>
      <c r="F423" s="82" t="s">
        <v>211</v>
      </c>
      <c r="G423" s="99" t="s">
        <v>212</v>
      </c>
      <c r="H423" s="41">
        <v>0</v>
      </c>
      <c r="I423" s="41">
        <v>300</v>
      </c>
      <c r="J423" s="41">
        <v>300</v>
      </c>
    </row>
    <row r="424" spans="1:10" ht="63" customHeight="1" x14ac:dyDescent="0.2">
      <c r="A424" s="1"/>
      <c r="B424" s="25"/>
      <c r="C424" s="166" t="s">
        <v>95</v>
      </c>
      <c r="D424" s="167" t="s">
        <v>93</v>
      </c>
      <c r="E424" s="140">
        <v>1520000000</v>
      </c>
      <c r="F424" s="82"/>
      <c r="G424" s="48" t="s">
        <v>761</v>
      </c>
      <c r="H424" s="170">
        <f>H425</f>
        <v>21285.599999999999</v>
      </c>
      <c r="I424" s="170">
        <f t="shared" ref="I424:J424" si="152">I425</f>
        <v>0</v>
      </c>
      <c r="J424" s="170">
        <f t="shared" si="152"/>
        <v>0</v>
      </c>
    </row>
    <row r="425" spans="1:10" ht="38.25" x14ac:dyDescent="0.2">
      <c r="A425" s="1"/>
      <c r="B425" s="25"/>
      <c r="C425" s="166" t="s">
        <v>95</v>
      </c>
      <c r="D425" s="167" t="s">
        <v>93</v>
      </c>
      <c r="E425" s="129">
        <v>1520400000</v>
      </c>
      <c r="F425" s="82"/>
      <c r="G425" s="98" t="s">
        <v>768</v>
      </c>
      <c r="H425" s="170">
        <f>H426</f>
        <v>21285.599999999999</v>
      </c>
      <c r="I425" s="170">
        <f t="shared" ref="I425:J425" si="153">I426</f>
        <v>0</v>
      </c>
      <c r="J425" s="170">
        <f t="shared" si="153"/>
        <v>0</v>
      </c>
    </row>
    <row r="426" spans="1:10" ht="51" x14ac:dyDescent="0.2">
      <c r="A426" s="1"/>
      <c r="B426" s="25"/>
      <c r="C426" s="166" t="s">
        <v>95</v>
      </c>
      <c r="D426" s="167" t="s">
        <v>93</v>
      </c>
      <c r="E426" s="129">
        <v>1520424016</v>
      </c>
      <c r="F426" s="82"/>
      <c r="G426" s="98" t="s">
        <v>762</v>
      </c>
      <c r="H426" s="170">
        <f>H427</f>
        <v>21285.599999999999</v>
      </c>
      <c r="I426" s="170">
        <f t="shared" ref="I426:J426" si="154">I427</f>
        <v>0</v>
      </c>
      <c r="J426" s="170">
        <f t="shared" si="154"/>
        <v>0</v>
      </c>
    </row>
    <row r="427" spans="1:10" ht="38.25" x14ac:dyDescent="0.2">
      <c r="A427" s="1"/>
      <c r="B427" s="25"/>
      <c r="C427" s="166" t="s">
        <v>95</v>
      </c>
      <c r="D427" s="167" t="s">
        <v>93</v>
      </c>
      <c r="E427" s="129">
        <v>1520424016</v>
      </c>
      <c r="F427" s="166" t="s">
        <v>211</v>
      </c>
      <c r="G427" s="169" t="s">
        <v>212</v>
      </c>
      <c r="H427" s="39">
        <f>31000+19963.4-31614.4+1936.6</f>
        <v>21285.599999999999</v>
      </c>
      <c r="I427" s="170">
        <v>0</v>
      </c>
      <c r="J427" s="170">
        <v>0</v>
      </c>
    </row>
    <row r="428" spans="1:10" ht="25.5" x14ac:dyDescent="0.2">
      <c r="A428" s="1"/>
      <c r="B428" s="25"/>
      <c r="C428" s="166" t="s">
        <v>95</v>
      </c>
      <c r="D428" s="167" t="s">
        <v>93</v>
      </c>
      <c r="E428" s="79">
        <v>9900000000</v>
      </c>
      <c r="F428" s="16"/>
      <c r="G428" s="55" t="s">
        <v>144</v>
      </c>
      <c r="H428" s="94">
        <f t="shared" ref="H428:J430" si="155">H429</f>
        <v>153.69999999999999</v>
      </c>
      <c r="I428" s="94">
        <f t="shared" si="155"/>
        <v>0</v>
      </c>
      <c r="J428" s="94">
        <f t="shared" si="155"/>
        <v>0</v>
      </c>
    </row>
    <row r="429" spans="1:10" ht="14.25" x14ac:dyDescent="0.2">
      <c r="A429" s="1"/>
      <c r="B429" s="25"/>
      <c r="C429" s="166" t="s">
        <v>95</v>
      </c>
      <c r="D429" s="167" t="s">
        <v>93</v>
      </c>
      <c r="E429" s="79">
        <v>9920000000</v>
      </c>
      <c r="F429" s="35"/>
      <c r="G429" s="126" t="s">
        <v>5</v>
      </c>
      <c r="H429" s="94">
        <f t="shared" si="155"/>
        <v>153.69999999999999</v>
      </c>
      <c r="I429" s="94">
        <f t="shared" si="155"/>
        <v>0</v>
      </c>
      <c r="J429" s="94">
        <f t="shared" si="155"/>
        <v>0</v>
      </c>
    </row>
    <row r="430" spans="1:10" ht="25.5" x14ac:dyDescent="0.2">
      <c r="A430" s="1"/>
      <c r="B430" s="25"/>
      <c r="C430" s="166" t="s">
        <v>95</v>
      </c>
      <c r="D430" s="167" t="s">
        <v>93</v>
      </c>
      <c r="E430" s="79">
        <v>9920026100</v>
      </c>
      <c r="F430" s="21"/>
      <c r="G430" s="99" t="s">
        <v>11</v>
      </c>
      <c r="H430" s="39">
        <f t="shared" si="155"/>
        <v>153.69999999999999</v>
      </c>
      <c r="I430" s="39">
        <f t="shared" si="155"/>
        <v>0</v>
      </c>
      <c r="J430" s="39">
        <f t="shared" si="155"/>
        <v>0</v>
      </c>
    </row>
    <row r="431" spans="1:10" ht="38.25" x14ac:dyDescent="0.2">
      <c r="A431" s="1"/>
      <c r="B431" s="25"/>
      <c r="C431" s="166" t="s">
        <v>95</v>
      </c>
      <c r="D431" s="167" t="s">
        <v>93</v>
      </c>
      <c r="E431" s="79">
        <v>9920026100</v>
      </c>
      <c r="F431" s="166" t="s">
        <v>211</v>
      </c>
      <c r="G431" s="169" t="s">
        <v>212</v>
      </c>
      <c r="H431" s="39">
        <v>153.69999999999999</v>
      </c>
      <c r="I431" s="39">
        <v>0</v>
      </c>
      <c r="J431" s="39">
        <v>0</v>
      </c>
    </row>
    <row r="432" spans="1:10" ht="42.75" x14ac:dyDescent="0.2">
      <c r="A432" s="1"/>
      <c r="B432" s="25"/>
      <c r="C432" s="30" t="s">
        <v>95</v>
      </c>
      <c r="D432" s="30" t="s">
        <v>95</v>
      </c>
      <c r="E432" s="30"/>
      <c r="F432" s="30"/>
      <c r="G432" s="50" t="s">
        <v>478</v>
      </c>
      <c r="H432" s="93">
        <f>H433</f>
        <v>1380.9</v>
      </c>
      <c r="I432" s="93">
        <f t="shared" ref="I432:J432" si="156">I433</f>
        <v>1180.9000000000001</v>
      </c>
      <c r="J432" s="93">
        <f t="shared" si="156"/>
        <v>1180.9000000000001</v>
      </c>
    </row>
    <row r="433" spans="1:10" ht="63.75" x14ac:dyDescent="0.2">
      <c r="A433" s="1"/>
      <c r="B433" s="25"/>
      <c r="C433" s="5" t="s">
        <v>95</v>
      </c>
      <c r="D433" s="5" t="s">
        <v>95</v>
      </c>
      <c r="E433" s="76">
        <v>400000000</v>
      </c>
      <c r="F433" s="30"/>
      <c r="G433" s="64" t="s">
        <v>375</v>
      </c>
      <c r="H433" s="96">
        <f>H434</f>
        <v>1380.9</v>
      </c>
      <c r="I433" s="96">
        <f t="shared" ref="I433:J433" si="157">I434</f>
        <v>1180.9000000000001</v>
      </c>
      <c r="J433" s="96">
        <f t="shared" si="157"/>
        <v>1180.9000000000001</v>
      </c>
    </row>
    <row r="434" spans="1:10" ht="129.75" customHeight="1" x14ac:dyDescent="0.2">
      <c r="A434" s="1"/>
      <c r="B434" s="25"/>
      <c r="C434" s="82" t="s">
        <v>95</v>
      </c>
      <c r="D434" s="82" t="s">
        <v>95</v>
      </c>
      <c r="E434" s="75">
        <v>430000000</v>
      </c>
      <c r="F434" s="16"/>
      <c r="G434" s="46" t="s">
        <v>477</v>
      </c>
      <c r="H434" s="39">
        <f>H435</f>
        <v>1380.9</v>
      </c>
      <c r="I434" s="39">
        <f t="shared" ref="I434:J434" si="158">I435</f>
        <v>1180.9000000000001</v>
      </c>
      <c r="J434" s="39">
        <f t="shared" si="158"/>
        <v>1180.9000000000001</v>
      </c>
    </row>
    <row r="435" spans="1:10" ht="63.75" x14ac:dyDescent="0.2">
      <c r="A435" s="1"/>
      <c r="B435" s="25"/>
      <c r="C435" s="82" t="s">
        <v>95</v>
      </c>
      <c r="D435" s="82" t="s">
        <v>95</v>
      </c>
      <c r="E435" s="74">
        <v>430100000</v>
      </c>
      <c r="F435" s="30"/>
      <c r="G435" s="97" t="s">
        <v>233</v>
      </c>
      <c r="H435" s="39">
        <f>H436+H438</f>
        <v>1380.9</v>
      </c>
      <c r="I435" s="39">
        <f t="shared" ref="I435:J435" si="159">I436+I438</f>
        <v>1180.9000000000001</v>
      </c>
      <c r="J435" s="39">
        <f t="shared" si="159"/>
        <v>1180.9000000000001</v>
      </c>
    </row>
    <row r="436" spans="1:10" ht="105.75" customHeight="1" x14ac:dyDescent="0.2">
      <c r="A436" s="1"/>
      <c r="B436" s="25"/>
      <c r="C436" s="82" t="s">
        <v>95</v>
      </c>
      <c r="D436" s="82" t="s">
        <v>95</v>
      </c>
      <c r="E436" s="79">
        <v>430127310</v>
      </c>
      <c r="F436" s="16"/>
      <c r="G436" s="98" t="s">
        <v>591</v>
      </c>
      <c r="H436" s="41">
        <f>H437</f>
        <v>1200</v>
      </c>
      <c r="I436" s="41">
        <f>I437</f>
        <v>1000</v>
      </c>
      <c r="J436" s="41">
        <f>J437</f>
        <v>1000</v>
      </c>
    </row>
    <row r="437" spans="1:10" ht="63.75" x14ac:dyDescent="0.2">
      <c r="A437" s="1"/>
      <c r="B437" s="25"/>
      <c r="C437" s="82" t="s">
        <v>95</v>
      </c>
      <c r="D437" s="82" t="s">
        <v>95</v>
      </c>
      <c r="E437" s="79">
        <v>430127310</v>
      </c>
      <c r="F437" s="16" t="s">
        <v>12</v>
      </c>
      <c r="G437" s="98" t="s">
        <v>318</v>
      </c>
      <c r="H437" s="41">
        <v>1200</v>
      </c>
      <c r="I437" s="41">
        <v>1000</v>
      </c>
      <c r="J437" s="41">
        <v>1000</v>
      </c>
    </row>
    <row r="438" spans="1:10" ht="102.75" customHeight="1" x14ac:dyDescent="0.2">
      <c r="A438" s="1"/>
      <c r="B438" s="25"/>
      <c r="C438" s="82" t="s">
        <v>95</v>
      </c>
      <c r="D438" s="82" t="s">
        <v>95</v>
      </c>
      <c r="E438" s="79">
        <v>430127320</v>
      </c>
      <c r="F438" s="16"/>
      <c r="G438" s="98" t="s">
        <v>479</v>
      </c>
      <c r="H438" s="41">
        <f>H439</f>
        <v>180.9</v>
      </c>
      <c r="I438" s="41">
        <f t="shared" ref="I438:J438" si="160">I439</f>
        <v>180.9</v>
      </c>
      <c r="J438" s="41">
        <f t="shared" si="160"/>
        <v>180.9</v>
      </c>
    </row>
    <row r="439" spans="1:10" ht="63.75" x14ac:dyDescent="0.2">
      <c r="A439" s="1"/>
      <c r="B439" s="25"/>
      <c r="C439" s="82" t="s">
        <v>95</v>
      </c>
      <c r="D439" s="82" t="s">
        <v>95</v>
      </c>
      <c r="E439" s="79">
        <v>430127320</v>
      </c>
      <c r="F439" s="16" t="s">
        <v>12</v>
      </c>
      <c r="G439" s="98" t="s">
        <v>318</v>
      </c>
      <c r="H439" s="41">
        <v>180.9</v>
      </c>
      <c r="I439" s="41">
        <v>180.9</v>
      </c>
      <c r="J439" s="41">
        <v>180.9</v>
      </c>
    </row>
    <row r="440" spans="1:10" ht="15.75" x14ac:dyDescent="0.25">
      <c r="A440" s="3"/>
      <c r="B440" s="91"/>
      <c r="C440" s="4" t="s">
        <v>110</v>
      </c>
      <c r="D440" s="3"/>
      <c r="E440" s="3"/>
      <c r="F440" s="3"/>
      <c r="G440" s="49" t="s">
        <v>111</v>
      </c>
      <c r="H440" s="92">
        <f>H441+H447+H457</f>
        <v>27615.9</v>
      </c>
      <c r="I440" s="92">
        <f>I441+I447+I457</f>
        <v>8441.7000000000007</v>
      </c>
      <c r="J440" s="92">
        <f>J441+J447+J457</f>
        <v>10298.9</v>
      </c>
    </row>
    <row r="441" spans="1:10" ht="15.75" x14ac:dyDescent="0.25">
      <c r="A441" s="3"/>
      <c r="B441" s="91"/>
      <c r="C441" s="35" t="s">
        <v>110</v>
      </c>
      <c r="D441" s="35" t="s">
        <v>88</v>
      </c>
      <c r="E441" s="35"/>
      <c r="F441" s="35"/>
      <c r="G441" s="45" t="s">
        <v>112</v>
      </c>
      <c r="H441" s="42">
        <f t="shared" ref="H441:J442" si="161">H442</f>
        <v>3642</v>
      </c>
      <c r="I441" s="42">
        <f t="shared" si="161"/>
        <v>2338.3000000000002</v>
      </c>
      <c r="J441" s="42">
        <f t="shared" si="161"/>
        <v>2338.3000000000002</v>
      </c>
    </row>
    <row r="442" spans="1:10" ht="90" x14ac:dyDescent="0.25">
      <c r="A442" s="3"/>
      <c r="B442" s="91"/>
      <c r="C442" s="5" t="s">
        <v>110</v>
      </c>
      <c r="D442" s="5" t="s">
        <v>88</v>
      </c>
      <c r="E442" s="73" t="s">
        <v>35</v>
      </c>
      <c r="F442" s="3"/>
      <c r="G442" s="141" t="s">
        <v>585</v>
      </c>
      <c r="H442" s="96">
        <f t="shared" si="161"/>
        <v>3642</v>
      </c>
      <c r="I442" s="96">
        <f t="shared" si="161"/>
        <v>2338.3000000000002</v>
      </c>
      <c r="J442" s="96">
        <f t="shared" si="161"/>
        <v>2338.3000000000002</v>
      </c>
    </row>
    <row r="443" spans="1:10" ht="26.25" x14ac:dyDescent="0.25">
      <c r="A443" s="3"/>
      <c r="B443" s="91"/>
      <c r="C443" s="16" t="s">
        <v>110</v>
      </c>
      <c r="D443" s="16" t="s">
        <v>88</v>
      </c>
      <c r="E443" s="52" t="s">
        <v>37</v>
      </c>
      <c r="F443" s="3"/>
      <c r="G443" s="46" t="s">
        <v>80</v>
      </c>
      <c r="H443" s="93">
        <f>H445</f>
        <v>3642</v>
      </c>
      <c r="I443" s="93">
        <f t="shared" ref="I443:J443" si="162">I445</f>
        <v>2338.3000000000002</v>
      </c>
      <c r="J443" s="93">
        <f t="shared" si="162"/>
        <v>2338.3000000000002</v>
      </c>
    </row>
    <row r="444" spans="1:10" ht="39" x14ac:dyDescent="0.25">
      <c r="A444" s="3"/>
      <c r="B444" s="91"/>
      <c r="C444" s="16" t="s">
        <v>110</v>
      </c>
      <c r="D444" s="16" t="s">
        <v>88</v>
      </c>
      <c r="E444" s="21" t="s">
        <v>278</v>
      </c>
      <c r="F444" s="3"/>
      <c r="G444" s="104" t="s">
        <v>645</v>
      </c>
      <c r="H444" s="39">
        <f t="shared" ref="H444:J445" si="163">H445</f>
        <v>3642</v>
      </c>
      <c r="I444" s="39">
        <f t="shared" si="163"/>
        <v>2338.3000000000002</v>
      </c>
      <c r="J444" s="39">
        <f t="shared" si="163"/>
        <v>2338.3000000000002</v>
      </c>
    </row>
    <row r="445" spans="1:10" ht="26.25" x14ac:dyDescent="0.25">
      <c r="A445" s="3"/>
      <c r="B445" s="91"/>
      <c r="C445" s="16" t="s">
        <v>110</v>
      </c>
      <c r="D445" s="16" t="s">
        <v>88</v>
      </c>
      <c r="E445" s="79">
        <v>1320225100</v>
      </c>
      <c r="F445" s="3"/>
      <c r="G445" s="99" t="s">
        <v>362</v>
      </c>
      <c r="H445" s="41">
        <f t="shared" si="163"/>
        <v>3642</v>
      </c>
      <c r="I445" s="41">
        <f t="shared" si="163"/>
        <v>2338.3000000000002</v>
      </c>
      <c r="J445" s="41">
        <f t="shared" si="163"/>
        <v>2338.3000000000002</v>
      </c>
    </row>
    <row r="446" spans="1:10" ht="25.5" x14ac:dyDescent="0.25">
      <c r="A446" s="3"/>
      <c r="B446" s="91"/>
      <c r="C446" s="16" t="s">
        <v>110</v>
      </c>
      <c r="D446" s="16" t="s">
        <v>88</v>
      </c>
      <c r="E446" s="79">
        <v>1320225100</v>
      </c>
      <c r="F446" s="82" t="s">
        <v>279</v>
      </c>
      <c r="G446" s="98" t="s">
        <v>280</v>
      </c>
      <c r="H446" s="39">
        <f>2338.3+1303.7</f>
        <v>3642</v>
      </c>
      <c r="I446" s="39">
        <v>2338.3000000000002</v>
      </c>
      <c r="J446" s="39">
        <v>2338.3000000000002</v>
      </c>
    </row>
    <row r="447" spans="1:10" ht="15.75" x14ac:dyDescent="0.25">
      <c r="A447" s="3"/>
      <c r="B447" s="91"/>
      <c r="C447" s="35" t="s">
        <v>110</v>
      </c>
      <c r="D447" s="35" t="s">
        <v>93</v>
      </c>
      <c r="E447" s="35"/>
      <c r="F447" s="35"/>
      <c r="G447" s="45" t="s">
        <v>116</v>
      </c>
      <c r="H447" s="42">
        <f>H448+H453</f>
        <v>788</v>
      </c>
      <c r="I447" s="42">
        <f t="shared" ref="I447:J447" si="164">I448</f>
        <v>638</v>
      </c>
      <c r="J447" s="42">
        <f t="shared" si="164"/>
        <v>638</v>
      </c>
    </row>
    <row r="448" spans="1:10" ht="90" x14ac:dyDescent="0.25">
      <c r="A448" s="3"/>
      <c r="B448" s="91"/>
      <c r="C448" s="5" t="s">
        <v>110</v>
      </c>
      <c r="D448" s="5" t="s">
        <v>93</v>
      </c>
      <c r="E448" s="73" t="s">
        <v>35</v>
      </c>
      <c r="F448" s="3"/>
      <c r="G448" s="141" t="s">
        <v>585</v>
      </c>
      <c r="H448" s="59">
        <f t="shared" ref="H448:J448" si="165">H449</f>
        <v>688</v>
      </c>
      <c r="I448" s="59">
        <f t="shared" si="165"/>
        <v>638</v>
      </c>
      <c r="J448" s="59">
        <f t="shared" si="165"/>
        <v>638</v>
      </c>
    </row>
    <row r="449" spans="1:10" ht="26.25" x14ac:dyDescent="0.25">
      <c r="A449" s="3"/>
      <c r="B449" s="91"/>
      <c r="C449" s="47" t="s">
        <v>110</v>
      </c>
      <c r="D449" s="47" t="s">
        <v>93</v>
      </c>
      <c r="E449" s="52" t="s">
        <v>37</v>
      </c>
      <c r="F449" s="16"/>
      <c r="G449" s="46" t="s">
        <v>80</v>
      </c>
      <c r="H449" s="93">
        <f>H451</f>
        <v>688</v>
      </c>
      <c r="I449" s="93">
        <f t="shared" ref="I449:J449" si="166">I451</f>
        <v>638</v>
      </c>
      <c r="J449" s="93">
        <f t="shared" si="166"/>
        <v>638</v>
      </c>
    </row>
    <row r="450" spans="1:10" ht="51.75" x14ac:dyDescent="0.25">
      <c r="A450" s="3"/>
      <c r="B450" s="91"/>
      <c r="C450" s="16" t="s">
        <v>110</v>
      </c>
      <c r="D450" s="16" t="s">
        <v>93</v>
      </c>
      <c r="E450" s="21" t="s">
        <v>278</v>
      </c>
      <c r="F450" s="16"/>
      <c r="G450" s="104" t="s">
        <v>301</v>
      </c>
      <c r="H450" s="41">
        <f t="shared" ref="H450:J451" si="167">H451</f>
        <v>688</v>
      </c>
      <c r="I450" s="41">
        <f t="shared" si="167"/>
        <v>638</v>
      </c>
      <c r="J450" s="41">
        <f t="shared" si="167"/>
        <v>638</v>
      </c>
    </row>
    <row r="451" spans="1:10" ht="63.75" x14ac:dyDescent="0.25">
      <c r="A451" s="3"/>
      <c r="B451" s="91"/>
      <c r="C451" s="16" t="s">
        <v>110</v>
      </c>
      <c r="D451" s="16" t="s">
        <v>93</v>
      </c>
      <c r="E451" s="79">
        <v>1320127100</v>
      </c>
      <c r="F451" s="16"/>
      <c r="G451" s="98" t="s">
        <v>3</v>
      </c>
      <c r="H451" s="41">
        <f t="shared" si="167"/>
        <v>688</v>
      </c>
      <c r="I451" s="41">
        <f t="shared" si="167"/>
        <v>638</v>
      </c>
      <c r="J451" s="41">
        <f t="shared" si="167"/>
        <v>638</v>
      </c>
    </row>
    <row r="452" spans="1:10" ht="77.25" x14ac:dyDescent="0.25">
      <c r="A452" s="3"/>
      <c r="B452" s="91"/>
      <c r="C452" s="16" t="s">
        <v>110</v>
      </c>
      <c r="D452" s="16" t="s">
        <v>93</v>
      </c>
      <c r="E452" s="79">
        <v>1320127100</v>
      </c>
      <c r="F452" s="16" t="s">
        <v>19</v>
      </c>
      <c r="G452" s="99" t="s">
        <v>360</v>
      </c>
      <c r="H452" s="41">
        <v>688</v>
      </c>
      <c r="I452" s="41">
        <v>638</v>
      </c>
      <c r="J452" s="41">
        <v>638</v>
      </c>
    </row>
    <row r="453" spans="1:10" ht="25.5" x14ac:dyDescent="0.25">
      <c r="A453" s="3"/>
      <c r="B453" s="91"/>
      <c r="C453" s="5" t="s">
        <v>110</v>
      </c>
      <c r="D453" s="5" t="s">
        <v>93</v>
      </c>
      <c r="E453" s="83">
        <v>9900000000</v>
      </c>
      <c r="F453" s="5"/>
      <c r="G453" s="84" t="s">
        <v>144</v>
      </c>
      <c r="H453" s="62">
        <f>H454</f>
        <v>100</v>
      </c>
      <c r="I453" s="62">
        <f t="shared" ref="I453:J453" si="168">I454</f>
        <v>0</v>
      </c>
      <c r="J453" s="62">
        <f t="shared" si="168"/>
        <v>0</v>
      </c>
    </row>
    <row r="454" spans="1:10" ht="15.75" x14ac:dyDescent="0.25">
      <c r="A454" s="3"/>
      <c r="B454" s="91"/>
      <c r="C454" s="16" t="s">
        <v>110</v>
      </c>
      <c r="D454" s="16" t="s">
        <v>93</v>
      </c>
      <c r="E454" s="79">
        <v>9920000000</v>
      </c>
      <c r="F454" s="35"/>
      <c r="G454" s="126" t="s">
        <v>5</v>
      </c>
      <c r="H454" s="94">
        <f t="shared" ref="H454:J455" si="169">H455</f>
        <v>100</v>
      </c>
      <c r="I454" s="94">
        <f t="shared" si="169"/>
        <v>0</v>
      </c>
      <c r="J454" s="94">
        <f t="shared" si="169"/>
        <v>0</v>
      </c>
    </row>
    <row r="455" spans="1:10" ht="26.25" x14ac:dyDescent="0.25">
      <c r="A455" s="3"/>
      <c r="B455" s="91"/>
      <c r="C455" s="16" t="s">
        <v>110</v>
      </c>
      <c r="D455" s="16" t="s">
        <v>93</v>
      </c>
      <c r="E455" s="79">
        <v>9920026100</v>
      </c>
      <c r="F455" s="21"/>
      <c r="G455" s="22" t="s">
        <v>11</v>
      </c>
      <c r="H455" s="39">
        <f t="shared" si="169"/>
        <v>100</v>
      </c>
      <c r="I455" s="39">
        <f t="shared" si="169"/>
        <v>0</v>
      </c>
      <c r="J455" s="39">
        <f t="shared" si="169"/>
        <v>0</v>
      </c>
    </row>
    <row r="456" spans="1:10" ht="15.75" x14ac:dyDescent="0.25">
      <c r="A456" s="3"/>
      <c r="B456" s="91"/>
      <c r="C456" s="16" t="s">
        <v>110</v>
      </c>
      <c r="D456" s="16" t="s">
        <v>93</v>
      </c>
      <c r="E456" s="79">
        <v>9920026100</v>
      </c>
      <c r="F456" s="82" t="s">
        <v>81</v>
      </c>
      <c r="G456" s="98" t="s">
        <v>82</v>
      </c>
      <c r="H456" s="39">
        <f>50+50</f>
        <v>100</v>
      </c>
      <c r="I456" s="39">
        <v>0</v>
      </c>
      <c r="J456" s="39">
        <v>0</v>
      </c>
    </row>
    <row r="457" spans="1:10" ht="14.25" x14ac:dyDescent="0.2">
      <c r="A457" s="1"/>
      <c r="B457" s="25"/>
      <c r="C457" s="35" t="s">
        <v>110</v>
      </c>
      <c r="D457" s="35" t="s">
        <v>94</v>
      </c>
      <c r="E457" s="35"/>
      <c r="F457" s="38"/>
      <c r="G457" s="50" t="s">
        <v>13</v>
      </c>
      <c r="H457" s="40">
        <f t="shared" ref="H457:J458" si="170">H458</f>
        <v>23185.9</v>
      </c>
      <c r="I457" s="40">
        <f t="shared" si="170"/>
        <v>5465.4</v>
      </c>
      <c r="J457" s="40">
        <f t="shared" si="170"/>
        <v>7322.5999999999995</v>
      </c>
    </row>
    <row r="458" spans="1:10" ht="90" x14ac:dyDescent="0.25">
      <c r="A458" s="1"/>
      <c r="B458" s="25"/>
      <c r="C458" s="5" t="s">
        <v>110</v>
      </c>
      <c r="D458" s="5" t="s">
        <v>94</v>
      </c>
      <c r="E458" s="73" t="s">
        <v>35</v>
      </c>
      <c r="F458" s="3"/>
      <c r="G458" s="141" t="s">
        <v>585</v>
      </c>
      <c r="H458" s="96">
        <f t="shared" si="170"/>
        <v>23185.9</v>
      </c>
      <c r="I458" s="96">
        <f t="shared" si="170"/>
        <v>5465.4</v>
      </c>
      <c r="J458" s="96">
        <f t="shared" si="170"/>
        <v>7322.5999999999995</v>
      </c>
    </row>
    <row r="459" spans="1:10" ht="25.5" x14ac:dyDescent="0.2">
      <c r="A459" s="1"/>
      <c r="B459" s="25"/>
      <c r="C459" s="47" t="s">
        <v>110</v>
      </c>
      <c r="D459" s="47" t="s">
        <v>94</v>
      </c>
      <c r="E459" s="52" t="s">
        <v>36</v>
      </c>
      <c r="F459" s="35"/>
      <c r="G459" s="46" t="s">
        <v>83</v>
      </c>
      <c r="H459" s="93">
        <f>H460+H465+H468</f>
        <v>23185.9</v>
      </c>
      <c r="I459" s="93">
        <f>I460+I465+I468</f>
        <v>5465.4</v>
      </c>
      <c r="J459" s="93">
        <f>J460+J465+J468</f>
        <v>7322.5999999999995</v>
      </c>
    </row>
    <row r="460" spans="1:10" ht="39" x14ac:dyDescent="0.25">
      <c r="A460" s="1"/>
      <c r="B460" s="25"/>
      <c r="C460" s="16" t="s">
        <v>110</v>
      </c>
      <c r="D460" s="16" t="s">
        <v>94</v>
      </c>
      <c r="E460" s="21" t="s">
        <v>275</v>
      </c>
      <c r="F460" s="3"/>
      <c r="G460" s="104" t="s">
        <v>276</v>
      </c>
      <c r="H460" s="41">
        <f>H461+H463</f>
        <v>3623</v>
      </c>
      <c r="I460" s="41">
        <f t="shared" ref="I460:J460" si="171">I461+I463</f>
        <v>905.69999999999993</v>
      </c>
      <c r="J460" s="41">
        <f t="shared" si="171"/>
        <v>1086.9000000000001</v>
      </c>
    </row>
    <row r="461" spans="1:10" ht="39" x14ac:dyDescent="0.25">
      <c r="A461" s="1"/>
      <c r="B461" s="25"/>
      <c r="C461" s="16" t="s">
        <v>110</v>
      </c>
      <c r="D461" s="16" t="s">
        <v>94</v>
      </c>
      <c r="E461" s="21" t="s">
        <v>305</v>
      </c>
      <c r="F461" s="3"/>
      <c r="G461" s="128" t="s">
        <v>202</v>
      </c>
      <c r="H461" s="41">
        <f t="shared" ref="H461:J461" si="172">H462</f>
        <v>724.6</v>
      </c>
      <c r="I461" s="41">
        <f t="shared" si="172"/>
        <v>905.69999999999993</v>
      </c>
      <c r="J461" s="41">
        <f t="shared" si="172"/>
        <v>1086.9000000000001</v>
      </c>
    </row>
    <row r="462" spans="1:10" x14ac:dyDescent="0.2">
      <c r="A462" s="1"/>
      <c r="B462" s="25"/>
      <c r="C462" s="16" t="s">
        <v>110</v>
      </c>
      <c r="D462" s="16" t="s">
        <v>94</v>
      </c>
      <c r="E462" s="21" t="s">
        <v>305</v>
      </c>
      <c r="F462" s="82" t="s">
        <v>248</v>
      </c>
      <c r="G462" s="102" t="s">
        <v>247</v>
      </c>
      <c r="H462" s="41">
        <v>724.6</v>
      </c>
      <c r="I462" s="195">
        <f>905.8-0.1</f>
        <v>905.69999999999993</v>
      </c>
      <c r="J462" s="41">
        <v>1086.9000000000001</v>
      </c>
    </row>
    <row r="463" spans="1:10" ht="38.25" x14ac:dyDescent="0.2">
      <c r="A463" s="1"/>
      <c r="B463" s="25"/>
      <c r="C463" s="16" t="s">
        <v>110</v>
      </c>
      <c r="D463" s="16" t="s">
        <v>94</v>
      </c>
      <c r="E463" s="21" t="s">
        <v>699</v>
      </c>
      <c r="F463" s="82"/>
      <c r="G463" s="124" t="s">
        <v>700</v>
      </c>
      <c r="H463" s="41">
        <f>H464</f>
        <v>2898.4</v>
      </c>
      <c r="I463" s="41">
        <f t="shared" ref="I463:J463" si="173">I464</f>
        <v>0</v>
      </c>
      <c r="J463" s="41">
        <f t="shared" si="173"/>
        <v>0</v>
      </c>
    </row>
    <row r="464" spans="1:10" x14ac:dyDescent="0.2">
      <c r="A464" s="1"/>
      <c r="B464" s="25"/>
      <c r="C464" s="16" t="s">
        <v>110</v>
      </c>
      <c r="D464" s="16" t="s">
        <v>94</v>
      </c>
      <c r="E464" s="21" t="s">
        <v>699</v>
      </c>
      <c r="F464" s="82" t="s">
        <v>248</v>
      </c>
      <c r="G464" s="102" t="s">
        <v>247</v>
      </c>
      <c r="H464" s="41">
        <v>2898.4</v>
      </c>
      <c r="I464" s="41">
        <v>0</v>
      </c>
      <c r="J464" s="41">
        <v>0</v>
      </c>
    </row>
    <row r="465" spans="1:10" ht="89.25" x14ac:dyDescent="0.2">
      <c r="A465" s="1"/>
      <c r="B465" s="25"/>
      <c r="C465" s="16" t="s">
        <v>110</v>
      </c>
      <c r="D465" s="16" t="s">
        <v>94</v>
      </c>
      <c r="E465" s="21" t="s">
        <v>277</v>
      </c>
      <c r="F465" s="35"/>
      <c r="G465" s="97" t="s">
        <v>560</v>
      </c>
      <c r="H465" s="39">
        <f>H466</f>
        <v>5072.3</v>
      </c>
      <c r="I465" s="39">
        <f t="shared" ref="I465:J465" si="174">I466</f>
        <v>1690.8</v>
      </c>
      <c r="J465" s="39">
        <f t="shared" si="174"/>
        <v>3381.5</v>
      </c>
    </row>
    <row r="466" spans="1:10" ht="51" x14ac:dyDescent="0.2">
      <c r="A466" s="1"/>
      <c r="B466" s="25"/>
      <c r="C466" s="16" t="s">
        <v>110</v>
      </c>
      <c r="D466" s="16" t="s">
        <v>94</v>
      </c>
      <c r="E466" s="79" t="s">
        <v>696</v>
      </c>
      <c r="F466" s="16"/>
      <c r="G466" s="98" t="s">
        <v>168</v>
      </c>
      <c r="H466" s="39">
        <f>H467</f>
        <v>5072.3</v>
      </c>
      <c r="I466" s="39">
        <f>I467</f>
        <v>1690.8</v>
      </c>
      <c r="J466" s="39">
        <f>J467</f>
        <v>3381.5</v>
      </c>
    </row>
    <row r="467" spans="1:10" x14ac:dyDescent="0.2">
      <c r="A467" s="1"/>
      <c r="B467" s="25"/>
      <c r="C467" s="16" t="s">
        <v>110</v>
      </c>
      <c r="D467" s="16" t="s">
        <v>94</v>
      </c>
      <c r="E467" s="79" t="s">
        <v>696</v>
      </c>
      <c r="F467" s="82" t="s">
        <v>248</v>
      </c>
      <c r="G467" s="102" t="s">
        <v>247</v>
      </c>
      <c r="H467" s="39">
        <v>5072.3</v>
      </c>
      <c r="I467" s="39">
        <v>1690.8</v>
      </c>
      <c r="J467" s="39">
        <v>3381.5</v>
      </c>
    </row>
    <row r="468" spans="1:10" ht="27" customHeight="1" x14ac:dyDescent="0.2">
      <c r="A468" s="1"/>
      <c r="B468" s="25"/>
      <c r="C468" s="16" t="s">
        <v>110</v>
      </c>
      <c r="D468" s="16" t="s">
        <v>94</v>
      </c>
      <c r="E468" s="21" t="s">
        <v>300</v>
      </c>
      <c r="F468" s="82"/>
      <c r="G468" s="104" t="s">
        <v>620</v>
      </c>
      <c r="H468" s="41">
        <f t="shared" ref="H468:J469" si="175">H469</f>
        <v>14490.6</v>
      </c>
      <c r="I468" s="41">
        <f t="shared" si="175"/>
        <v>2868.9</v>
      </c>
      <c r="J468" s="41">
        <f t="shared" si="175"/>
        <v>2854.2</v>
      </c>
    </row>
    <row r="469" spans="1:10" ht="51" x14ac:dyDescent="0.2">
      <c r="A469" s="1"/>
      <c r="B469" s="25"/>
      <c r="C469" s="16" t="s">
        <v>110</v>
      </c>
      <c r="D469" s="16" t="s">
        <v>94</v>
      </c>
      <c r="E469" s="74" t="s">
        <v>330</v>
      </c>
      <c r="F469" s="16"/>
      <c r="G469" s="98" t="s">
        <v>317</v>
      </c>
      <c r="H469" s="94">
        <f t="shared" si="175"/>
        <v>14490.6</v>
      </c>
      <c r="I469" s="94">
        <f t="shared" si="175"/>
        <v>2868.9</v>
      </c>
      <c r="J469" s="94">
        <f t="shared" si="175"/>
        <v>2854.2</v>
      </c>
    </row>
    <row r="470" spans="1:10" ht="38.25" x14ac:dyDescent="0.2">
      <c r="A470" s="1"/>
      <c r="B470" s="25"/>
      <c r="C470" s="16" t="s">
        <v>110</v>
      </c>
      <c r="D470" s="16" t="s">
        <v>94</v>
      </c>
      <c r="E470" s="74" t="s">
        <v>330</v>
      </c>
      <c r="F470" s="82" t="s">
        <v>260</v>
      </c>
      <c r="G470" s="98" t="s">
        <v>249</v>
      </c>
      <c r="H470" s="94">
        <f>2854.2+11592.5+43.9</f>
        <v>14490.6</v>
      </c>
      <c r="I470" s="94">
        <v>2868.9</v>
      </c>
      <c r="J470" s="94">
        <v>2854.2</v>
      </c>
    </row>
    <row r="471" spans="1:10" ht="16.5" customHeight="1" x14ac:dyDescent="0.25">
      <c r="A471" s="1"/>
      <c r="B471" s="25"/>
      <c r="C471" s="4" t="s">
        <v>122</v>
      </c>
      <c r="D471" s="3"/>
      <c r="E471" s="3"/>
      <c r="F471" s="3"/>
      <c r="G471" s="49" t="s">
        <v>8</v>
      </c>
      <c r="H471" s="92">
        <f t="shared" ref="H471:J471" si="176">H472</f>
        <v>4480.7</v>
      </c>
      <c r="I471" s="92">
        <f t="shared" si="176"/>
        <v>3538</v>
      </c>
      <c r="J471" s="92">
        <f t="shared" si="176"/>
        <v>3538</v>
      </c>
    </row>
    <row r="472" spans="1:10" ht="28.5" x14ac:dyDescent="0.2">
      <c r="A472" s="1"/>
      <c r="B472" s="25"/>
      <c r="C472" s="35" t="s">
        <v>122</v>
      </c>
      <c r="D472" s="35" t="s">
        <v>94</v>
      </c>
      <c r="E472" s="35"/>
      <c r="F472" s="35"/>
      <c r="G472" s="50" t="s">
        <v>14</v>
      </c>
      <c r="H472" s="40">
        <f t="shared" ref="H472" si="177">H474</f>
        <v>4480.7</v>
      </c>
      <c r="I472" s="40">
        <f t="shared" ref="I472:J472" si="178">I474</f>
        <v>3538</v>
      </c>
      <c r="J472" s="40">
        <f t="shared" si="178"/>
        <v>3538</v>
      </c>
    </row>
    <row r="473" spans="1:10" ht="89.25" x14ac:dyDescent="0.2">
      <c r="A473" s="1"/>
      <c r="B473" s="25"/>
      <c r="C473" s="16" t="s">
        <v>122</v>
      </c>
      <c r="D473" s="16" t="s">
        <v>94</v>
      </c>
      <c r="E473" s="74">
        <v>400000000</v>
      </c>
      <c r="F473" s="30"/>
      <c r="G473" s="141" t="s">
        <v>575</v>
      </c>
      <c r="H473" s="96">
        <f t="shared" ref="H473:J473" si="179">H474</f>
        <v>4480.7</v>
      </c>
      <c r="I473" s="96">
        <f t="shared" si="179"/>
        <v>3538</v>
      </c>
      <c r="J473" s="96">
        <f t="shared" si="179"/>
        <v>3538</v>
      </c>
    </row>
    <row r="474" spans="1:10" ht="51" x14ac:dyDescent="0.2">
      <c r="A474" s="1"/>
      <c r="B474" s="25"/>
      <c r="C474" s="47" t="s">
        <v>122</v>
      </c>
      <c r="D474" s="47" t="s">
        <v>94</v>
      </c>
      <c r="E474" s="75">
        <v>420000000</v>
      </c>
      <c r="F474" s="30"/>
      <c r="G474" s="46" t="s">
        <v>232</v>
      </c>
      <c r="H474" s="93">
        <f>H475+H484</f>
        <v>4480.7</v>
      </c>
      <c r="I474" s="93">
        <f t="shared" ref="I474:J474" si="180">I475+I484</f>
        <v>3538</v>
      </c>
      <c r="J474" s="93">
        <f t="shared" si="180"/>
        <v>3538</v>
      </c>
    </row>
    <row r="475" spans="1:10" ht="117" customHeight="1" x14ac:dyDescent="0.2">
      <c r="A475" s="1"/>
      <c r="B475" s="25"/>
      <c r="C475" s="16" t="s">
        <v>122</v>
      </c>
      <c r="D475" s="16" t="s">
        <v>94</v>
      </c>
      <c r="E475" s="74">
        <v>420100000</v>
      </c>
      <c r="F475" s="16"/>
      <c r="G475" s="97" t="s">
        <v>472</v>
      </c>
      <c r="H475" s="41">
        <f>H476+H478+H480+H482</f>
        <v>3245.9</v>
      </c>
      <c r="I475" s="41">
        <f t="shared" ref="I475:J475" si="181">I476+I478+I480+I482</f>
        <v>2525.9</v>
      </c>
      <c r="J475" s="41">
        <f t="shared" si="181"/>
        <v>2525.9</v>
      </c>
    </row>
    <row r="476" spans="1:10" ht="51" x14ac:dyDescent="0.2">
      <c r="A476" s="1"/>
      <c r="B476" s="25"/>
      <c r="C476" s="16" t="s">
        <v>122</v>
      </c>
      <c r="D476" s="16" t="s">
        <v>94</v>
      </c>
      <c r="E476" s="74" t="s">
        <v>473</v>
      </c>
      <c r="F476" s="16"/>
      <c r="G476" s="98" t="s">
        <v>352</v>
      </c>
      <c r="H476" s="41">
        <f>H477</f>
        <v>600</v>
      </c>
      <c r="I476" s="41">
        <f t="shared" ref="I476:J476" si="182">I477</f>
        <v>300</v>
      </c>
      <c r="J476" s="41">
        <f t="shared" si="182"/>
        <v>300</v>
      </c>
    </row>
    <row r="477" spans="1:10" ht="76.5" x14ac:dyDescent="0.2">
      <c r="A477" s="1"/>
      <c r="B477" s="25"/>
      <c r="C477" s="16" t="s">
        <v>122</v>
      </c>
      <c r="D477" s="16" t="s">
        <v>94</v>
      </c>
      <c r="E477" s="74" t="s">
        <v>473</v>
      </c>
      <c r="F477" s="16" t="s">
        <v>19</v>
      </c>
      <c r="G477" s="99" t="s">
        <v>360</v>
      </c>
      <c r="H477" s="41">
        <v>600</v>
      </c>
      <c r="I477" s="41">
        <v>300</v>
      </c>
      <c r="J477" s="41">
        <v>300</v>
      </c>
    </row>
    <row r="478" spans="1:10" ht="63.75" x14ac:dyDescent="0.2">
      <c r="A478" s="1"/>
      <c r="B478" s="25"/>
      <c r="C478" s="16" t="s">
        <v>122</v>
      </c>
      <c r="D478" s="16" t="s">
        <v>94</v>
      </c>
      <c r="E478" s="74">
        <v>420123230</v>
      </c>
      <c r="F478" s="16"/>
      <c r="G478" s="99" t="s">
        <v>661</v>
      </c>
      <c r="H478" s="41">
        <f>H479</f>
        <v>1620</v>
      </c>
      <c r="I478" s="41">
        <f t="shared" ref="I478:J478" si="183">I479</f>
        <v>1300</v>
      </c>
      <c r="J478" s="41">
        <f t="shared" si="183"/>
        <v>1300</v>
      </c>
    </row>
    <row r="479" spans="1:10" ht="38.25" x14ac:dyDescent="0.2">
      <c r="A479" s="1"/>
      <c r="B479" s="25"/>
      <c r="C479" s="16" t="s">
        <v>122</v>
      </c>
      <c r="D479" s="16" t="s">
        <v>94</v>
      </c>
      <c r="E479" s="74">
        <v>420123230</v>
      </c>
      <c r="F479" s="82" t="s">
        <v>211</v>
      </c>
      <c r="G479" s="98" t="s">
        <v>212</v>
      </c>
      <c r="H479" s="41">
        <f>1200+420</f>
        <v>1620</v>
      </c>
      <c r="I479" s="41">
        <v>1300</v>
      </c>
      <c r="J479" s="41">
        <v>1300</v>
      </c>
    </row>
    <row r="480" spans="1:10" ht="38.25" x14ac:dyDescent="0.2">
      <c r="A480" s="1"/>
      <c r="B480" s="25"/>
      <c r="C480" s="16" t="s">
        <v>122</v>
      </c>
      <c r="D480" s="16" t="s">
        <v>94</v>
      </c>
      <c r="E480" s="74">
        <v>420110320</v>
      </c>
      <c r="F480" s="1"/>
      <c r="G480" s="134" t="s">
        <v>474</v>
      </c>
      <c r="H480" s="41">
        <f>H481</f>
        <v>925.9</v>
      </c>
      <c r="I480" s="41">
        <f t="shared" ref="I480:J480" si="184">I481</f>
        <v>925.9</v>
      </c>
      <c r="J480" s="41">
        <f t="shared" si="184"/>
        <v>925.9</v>
      </c>
    </row>
    <row r="481" spans="1:10" ht="76.5" x14ac:dyDescent="0.2">
      <c r="A481" s="1"/>
      <c r="B481" s="25"/>
      <c r="C481" s="16" t="s">
        <v>122</v>
      </c>
      <c r="D481" s="16" t="s">
        <v>94</v>
      </c>
      <c r="E481" s="74">
        <v>420110320</v>
      </c>
      <c r="F481" s="16" t="s">
        <v>19</v>
      </c>
      <c r="G481" s="99" t="s">
        <v>360</v>
      </c>
      <c r="H481" s="41">
        <f>926.8-0.9</f>
        <v>925.9</v>
      </c>
      <c r="I481" s="41">
        <f t="shared" ref="I481:J481" si="185">926.8-0.9</f>
        <v>925.9</v>
      </c>
      <c r="J481" s="41">
        <f t="shared" si="185"/>
        <v>925.9</v>
      </c>
    </row>
    <row r="482" spans="1:10" ht="38.25" x14ac:dyDescent="0.2">
      <c r="A482" s="1"/>
      <c r="B482" s="25"/>
      <c r="C482" s="16" t="s">
        <v>122</v>
      </c>
      <c r="D482" s="16" t="s">
        <v>94</v>
      </c>
      <c r="E482" s="74" t="s">
        <v>475</v>
      </c>
      <c r="F482" s="16"/>
      <c r="G482" s="99" t="s">
        <v>476</v>
      </c>
      <c r="H482" s="41">
        <f>H483</f>
        <v>100</v>
      </c>
      <c r="I482" s="41">
        <f t="shared" ref="I482:J482" si="186">I483</f>
        <v>0</v>
      </c>
      <c r="J482" s="41">
        <f t="shared" si="186"/>
        <v>0</v>
      </c>
    </row>
    <row r="483" spans="1:10" ht="76.5" x14ac:dyDescent="0.2">
      <c r="A483" s="1"/>
      <c r="B483" s="25"/>
      <c r="C483" s="16" t="s">
        <v>122</v>
      </c>
      <c r="D483" s="16" t="s">
        <v>94</v>
      </c>
      <c r="E483" s="74" t="s">
        <v>475</v>
      </c>
      <c r="F483" s="16" t="s">
        <v>19</v>
      </c>
      <c r="G483" s="99" t="s">
        <v>360</v>
      </c>
      <c r="H483" s="41">
        <v>100</v>
      </c>
      <c r="I483" s="41">
        <v>0</v>
      </c>
      <c r="J483" s="41">
        <v>0</v>
      </c>
    </row>
    <row r="484" spans="1:10" ht="127.5" x14ac:dyDescent="0.2">
      <c r="A484" s="1"/>
      <c r="B484" s="25"/>
      <c r="C484" s="16" t="s">
        <v>122</v>
      </c>
      <c r="D484" s="16" t="s">
        <v>94</v>
      </c>
      <c r="E484" s="74">
        <v>420200000</v>
      </c>
      <c r="F484" s="16"/>
      <c r="G484" s="97" t="s">
        <v>660</v>
      </c>
      <c r="H484" s="41">
        <f>H485+H487</f>
        <v>1234.8</v>
      </c>
      <c r="I484" s="41">
        <f t="shared" ref="I484:J484" si="187">I485+I487</f>
        <v>1012.0999999999999</v>
      </c>
      <c r="J484" s="41">
        <f t="shared" si="187"/>
        <v>1012.0999999999999</v>
      </c>
    </row>
    <row r="485" spans="1:10" ht="68.25" customHeight="1" x14ac:dyDescent="0.2">
      <c r="A485" s="1"/>
      <c r="B485" s="25"/>
      <c r="C485" s="16" t="s">
        <v>122</v>
      </c>
      <c r="D485" s="16" t="s">
        <v>94</v>
      </c>
      <c r="E485" s="74">
        <v>420223235</v>
      </c>
      <c r="F485" s="30"/>
      <c r="G485" s="98" t="s">
        <v>659</v>
      </c>
      <c r="H485" s="41">
        <f>H486</f>
        <v>686.3</v>
      </c>
      <c r="I485" s="41">
        <f>I486</f>
        <v>575.29999999999995</v>
      </c>
      <c r="J485" s="41">
        <f>J486</f>
        <v>575.29999999999995</v>
      </c>
    </row>
    <row r="486" spans="1:10" ht="38.25" x14ac:dyDescent="0.2">
      <c r="A486" s="1"/>
      <c r="B486" s="25"/>
      <c r="C486" s="16" t="s">
        <v>122</v>
      </c>
      <c r="D486" s="16" t="s">
        <v>94</v>
      </c>
      <c r="E486" s="74">
        <v>420223235</v>
      </c>
      <c r="F486" s="82" t="s">
        <v>211</v>
      </c>
      <c r="G486" s="98" t="s">
        <v>212</v>
      </c>
      <c r="H486" s="41">
        <f>575.3+111</f>
        <v>686.3</v>
      </c>
      <c r="I486" s="41">
        <v>575.29999999999995</v>
      </c>
      <c r="J486" s="41">
        <v>575.29999999999995</v>
      </c>
    </row>
    <row r="487" spans="1:10" ht="63.75" x14ac:dyDescent="0.2">
      <c r="A487" s="1"/>
      <c r="B487" s="25"/>
      <c r="C487" s="16" t="s">
        <v>122</v>
      </c>
      <c r="D487" s="16" t="s">
        <v>94</v>
      </c>
      <c r="E487" s="74">
        <v>420223240</v>
      </c>
      <c r="F487" s="82"/>
      <c r="G487" s="98" t="s">
        <v>658</v>
      </c>
      <c r="H487" s="41">
        <f>H488</f>
        <v>548.5</v>
      </c>
      <c r="I487" s="41">
        <f t="shared" ref="I487:J487" si="188">I488</f>
        <v>436.8</v>
      </c>
      <c r="J487" s="41">
        <f t="shared" si="188"/>
        <v>436.8</v>
      </c>
    </row>
    <row r="488" spans="1:10" ht="38.25" x14ac:dyDescent="0.2">
      <c r="A488" s="1"/>
      <c r="B488" s="25"/>
      <c r="C488" s="16" t="s">
        <v>122</v>
      </c>
      <c r="D488" s="16" t="s">
        <v>94</v>
      </c>
      <c r="E488" s="74">
        <v>420223240</v>
      </c>
      <c r="F488" s="82" t="s">
        <v>211</v>
      </c>
      <c r="G488" s="98" t="s">
        <v>212</v>
      </c>
      <c r="H488" s="41">
        <f>436.8+111.7</f>
        <v>548.5</v>
      </c>
      <c r="I488" s="41">
        <v>436.8</v>
      </c>
      <c r="J488" s="41">
        <v>436.8</v>
      </c>
    </row>
    <row r="489" spans="1:10" s="8" customFormat="1" ht="90" x14ac:dyDescent="0.25">
      <c r="A489" s="3">
        <v>4</v>
      </c>
      <c r="B489" s="91">
        <v>929</v>
      </c>
      <c r="C489" s="13"/>
      <c r="D489" s="13"/>
      <c r="E489" s="13"/>
      <c r="F489" s="13"/>
      <c r="G489" s="14" t="s">
        <v>207</v>
      </c>
      <c r="H489" s="59">
        <f>H490+H646</f>
        <v>766287.5</v>
      </c>
      <c r="I489" s="59">
        <f>I490+I646</f>
        <v>759940.00000000012</v>
      </c>
      <c r="J489" s="59">
        <f>J490+J646</f>
        <v>789862.80000000016</v>
      </c>
    </row>
    <row r="490" spans="1:10" ht="15.75" x14ac:dyDescent="0.25">
      <c r="A490" s="3"/>
      <c r="B490" s="91"/>
      <c r="C490" s="4" t="s">
        <v>104</v>
      </c>
      <c r="D490" s="3"/>
      <c r="E490" s="3"/>
      <c r="F490" s="3"/>
      <c r="G490" s="49" t="s">
        <v>105</v>
      </c>
      <c r="H490" s="59">
        <f>H491+H512+H571+H601+H607</f>
        <v>753270.8</v>
      </c>
      <c r="I490" s="59">
        <f>I491+I512+I571+I601+I607</f>
        <v>745950.70000000007</v>
      </c>
      <c r="J490" s="59">
        <f>J491+J512+J571+J601+J607</f>
        <v>775873.50000000012</v>
      </c>
    </row>
    <row r="491" spans="1:10" s="37" customFormat="1" ht="14.25" x14ac:dyDescent="0.2">
      <c r="A491" s="27"/>
      <c r="B491" s="70"/>
      <c r="C491" s="35" t="s">
        <v>104</v>
      </c>
      <c r="D491" s="35" t="s">
        <v>88</v>
      </c>
      <c r="E491" s="35"/>
      <c r="F491" s="35"/>
      <c r="G491" s="45" t="s">
        <v>107</v>
      </c>
      <c r="H491" s="58">
        <f>H492</f>
        <v>185012.7</v>
      </c>
      <c r="I491" s="58">
        <f t="shared" ref="I491:J491" si="189">I492</f>
        <v>190754.2</v>
      </c>
      <c r="J491" s="58">
        <f t="shared" si="189"/>
        <v>196679.9</v>
      </c>
    </row>
    <row r="492" spans="1:10" s="37" customFormat="1" ht="76.5" x14ac:dyDescent="0.2">
      <c r="A492" s="27"/>
      <c r="B492" s="70"/>
      <c r="C492" s="16" t="s">
        <v>104</v>
      </c>
      <c r="D492" s="16" t="s">
        <v>88</v>
      </c>
      <c r="E492" s="21" t="s">
        <v>73</v>
      </c>
      <c r="F492" s="35"/>
      <c r="G492" s="64" t="s">
        <v>571</v>
      </c>
      <c r="H492" s="62">
        <f t="shared" ref="H492:J492" si="190">H493</f>
        <v>185012.7</v>
      </c>
      <c r="I492" s="62">
        <f t="shared" si="190"/>
        <v>190754.2</v>
      </c>
      <c r="J492" s="62">
        <f t="shared" si="190"/>
        <v>196679.9</v>
      </c>
    </row>
    <row r="493" spans="1:10" s="37" customFormat="1" ht="25.5" x14ac:dyDescent="0.2">
      <c r="A493" s="27"/>
      <c r="B493" s="70"/>
      <c r="C493" s="16" t="s">
        <v>104</v>
      </c>
      <c r="D493" s="16" t="s">
        <v>88</v>
      </c>
      <c r="E493" s="52" t="s">
        <v>74</v>
      </c>
      <c r="F493" s="35"/>
      <c r="G493" s="46" t="s">
        <v>388</v>
      </c>
      <c r="H493" s="94">
        <f>H494+H503</f>
        <v>185012.7</v>
      </c>
      <c r="I493" s="94">
        <f t="shared" ref="I493:J493" si="191">I494+I503</f>
        <v>190754.2</v>
      </c>
      <c r="J493" s="94">
        <f t="shared" si="191"/>
        <v>196679.9</v>
      </c>
    </row>
    <row r="494" spans="1:10" s="37" customFormat="1" ht="51" x14ac:dyDescent="0.2">
      <c r="A494" s="27"/>
      <c r="B494" s="70"/>
      <c r="C494" s="56" t="s">
        <v>104</v>
      </c>
      <c r="D494" s="56" t="s">
        <v>88</v>
      </c>
      <c r="E494" s="21" t="s">
        <v>332</v>
      </c>
      <c r="F494" s="35"/>
      <c r="G494" s="97" t="s">
        <v>389</v>
      </c>
      <c r="H494" s="94">
        <f>H495+H497+H499+H501</f>
        <v>184490.5</v>
      </c>
      <c r="I494" s="94">
        <f t="shared" ref="I494:J494" si="192">I495+I497+I499+I501</f>
        <v>189254.2</v>
      </c>
      <c r="J494" s="94">
        <f t="shared" si="192"/>
        <v>196679.9</v>
      </c>
    </row>
    <row r="495" spans="1:10" s="37" customFormat="1" ht="54" customHeight="1" x14ac:dyDescent="0.2">
      <c r="A495" s="27"/>
      <c r="B495" s="70"/>
      <c r="C495" s="56" t="s">
        <v>104</v>
      </c>
      <c r="D495" s="56" t="s">
        <v>88</v>
      </c>
      <c r="E495" s="21" t="s">
        <v>379</v>
      </c>
      <c r="F495" s="21"/>
      <c r="G495" s="98" t="s">
        <v>378</v>
      </c>
      <c r="H495" s="94">
        <f>H496</f>
        <v>109172.3</v>
      </c>
      <c r="I495" s="94">
        <f t="shared" ref="I495:J495" si="193">I496</f>
        <v>116433.09999999999</v>
      </c>
      <c r="J495" s="94">
        <f t="shared" si="193"/>
        <v>123858.79999999999</v>
      </c>
    </row>
    <row r="496" spans="1:10" s="37" customFormat="1" ht="14.25" x14ac:dyDescent="0.2">
      <c r="A496" s="27"/>
      <c r="B496" s="70"/>
      <c r="C496" s="56" t="s">
        <v>104</v>
      </c>
      <c r="D496" s="56" t="s">
        <v>88</v>
      </c>
      <c r="E496" s="21" t="s">
        <v>379</v>
      </c>
      <c r="F496" s="21" t="s">
        <v>225</v>
      </c>
      <c r="G496" s="98" t="s">
        <v>224</v>
      </c>
      <c r="H496" s="1">
        <f>94397.6+6694.2+8080.5</f>
        <v>109172.3</v>
      </c>
      <c r="I496" s="1">
        <f>94400.5+6555.7+15476.9</f>
        <v>116433.09999999999</v>
      </c>
      <c r="J496" s="1">
        <f>94400.5+6555.7+22902.6</f>
        <v>123858.79999999999</v>
      </c>
    </row>
    <row r="497" spans="1:10" s="37" customFormat="1" ht="76.5" x14ac:dyDescent="0.25">
      <c r="A497" s="27"/>
      <c r="B497" s="70"/>
      <c r="C497" s="56" t="s">
        <v>104</v>
      </c>
      <c r="D497" s="56" t="s">
        <v>88</v>
      </c>
      <c r="E497" s="131" t="s">
        <v>381</v>
      </c>
      <c r="F497" s="21"/>
      <c r="G497" s="98" t="s">
        <v>380</v>
      </c>
      <c r="H497" s="94">
        <f>H498</f>
        <v>74539.600000000006</v>
      </c>
      <c r="I497" s="94">
        <f t="shared" ref="I497:J497" si="194">I498</f>
        <v>72821.100000000006</v>
      </c>
      <c r="J497" s="94">
        <f t="shared" si="194"/>
        <v>72821.100000000006</v>
      </c>
    </row>
    <row r="498" spans="1:10" s="37" customFormat="1" ht="15" x14ac:dyDescent="0.25">
      <c r="A498" s="27"/>
      <c r="B498" s="70"/>
      <c r="C498" s="56" t="s">
        <v>104</v>
      </c>
      <c r="D498" s="56" t="s">
        <v>88</v>
      </c>
      <c r="E498" s="131" t="s">
        <v>381</v>
      </c>
      <c r="F498" s="21" t="s">
        <v>225</v>
      </c>
      <c r="G498" s="98" t="s">
        <v>224</v>
      </c>
      <c r="H498" s="94">
        <f>72821.1+2851.3-1125-7.8</f>
        <v>74539.600000000006</v>
      </c>
      <c r="I498" s="94">
        <v>72821.100000000006</v>
      </c>
      <c r="J498" s="94">
        <v>72821.100000000006</v>
      </c>
    </row>
    <row r="499" spans="1:10" s="37" customFormat="1" ht="63.75" x14ac:dyDescent="0.25">
      <c r="A499" s="27"/>
      <c r="B499" s="70"/>
      <c r="C499" s="56" t="s">
        <v>104</v>
      </c>
      <c r="D499" s="56" t="s">
        <v>88</v>
      </c>
      <c r="E499" s="205" t="s">
        <v>808</v>
      </c>
      <c r="F499" s="21"/>
      <c r="G499" s="98" t="s">
        <v>809</v>
      </c>
      <c r="H499" s="94">
        <f>H500</f>
        <v>770.8</v>
      </c>
      <c r="I499" s="94">
        <f t="shared" ref="I499:J499" si="195">I500</f>
        <v>0</v>
      </c>
      <c r="J499" s="94">
        <f t="shared" si="195"/>
        <v>0</v>
      </c>
    </row>
    <row r="500" spans="1:10" s="37" customFormat="1" ht="15" x14ac:dyDescent="0.25">
      <c r="A500" s="27"/>
      <c r="B500" s="70"/>
      <c r="C500" s="56" t="s">
        <v>104</v>
      </c>
      <c r="D500" s="56" t="s">
        <v>88</v>
      </c>
      <c r="E500" s="204" t="s">
        <v>808</v>
      </c>
      <c r="F500" s="21" t="s">
        <v>225</v>
      </c>
      <c r="G500" s="98" t="s">
        <v>224</v>
      </c>
      <c r="H500" s="39">
        <v>770.8</v>
      </c>
      <c r="I500" s="39">
        <v>0</v>
      </c>
      <c r="J500" s="39">
        <v>0</v>
      </c>
    </row>
    <row r="501" spans="1:10" s="37" customFormat="1" ht="77.25" x14ac:dyDescent="0.25">
      <c r="A501" s="27"/>
      <c r="B501" s="70"/>
      <c r="C501" s="56" t="s">
        <v>104</v>
      </c>
      <c r="D501" s="56" t="s">
        <v>88</v>
      </c>
      <c r="E501" s="205" t="s">
        <v>810</v>
      </c>
      <c r="F501" s="21"/>
      <c r="G501" s="108" t="s">
        <v>811</v>
      </c>
      <c r="H501" s="94">
        <f>H502</f>
        <v>7.8</v>
      </c>
      <c r="I501" s="94">
        <f t="shared" ref="I501:J501" si="196">I502</f>
        <v>0</v>
      </c>
      <c r="J501" s="94">
        <f t="shared" si="196"/>
        <v>0</v>
      </c>
    </row>
    <row r="502" spans="1:10" s="37" customFormat="1" ht="15" x14ac:dyDescent="0.25">
      <c r="A502" s="27"/>
      <c r="B502" s="70"/>
      <c r="C502" s="56" t="s">
        <v>104</v>
      </c>
      <c r="D502" s="56" t="s">
        <v>88</v>
      </c>
      <c r="E502" s="205" t="s">
        <v>810</v>
      </c>
      <c r="F502" s="21" t="s">
        <v>225</v>
      </c>
      <c r="G502" s="98" t="s">
        <v>224</v>
      </c>
      <c r="H502" s="1">
        <v>7.8</v>
      </c>
      <c r="I502" s="94">
        <v>0</v>
      </c>
      <c r="J502" s="94">
        <v>0</v>
      </c>
    </row>
    <row r="503" spans="1:10" s="37" customFormat="1" ht="38.25" x14ac:dyDescent="0.2">
      <c r="A503" s="27"/>
      <c r="B503" s="70"/>
      <c r="C503" s="56" t="s">
        <v>104</v>
      </c>
      <c r="D503" s="56" t="s">
        <v>88</v>
      </c>
      <c r="E503" s="21" t="s">
        <v>282</v>
      </c>
      <c r="F503" s="35"/>
      <c r="G503" s="97" t="s">
        <v>382</v>
      </c>
      <c r="H503" s="94">
        <f>H504+H506+H508+H510</f>
        <v>522.20000000000005</v>
      </c>
      <c r="I503" s="94">
        <f t="shared" ref="I503:J503" si="197">I504+I506+I508+I510</f>
        <v>1500</v>
      </c>
      <c r="J503" s="94">
        <f t="shared" si="197"/>
        <v>0</v>
      </c>
    </row>
    <row r="504" spans="1:10" s="37" customFormat="1" ht="51" x14ac:dyDescent="0.2">
      <c r="A504" s="27"/>
      <c r="B504" s="70"/>
      <c r="C504" s="56" t="s">
        <v>104</v>
      </c>
      <c r="D504" s="56" t="s">
        <v>88</v>
      </c>
      <c r="E504" s="21" t="s">
        <v>384</v>
      </c>
      <c r="F504" s="57"/>
      <c r="G504" s="97" t="s">
        <v>383</v>
      </c>
      <c r="H504" s="94">
        <f>H505</f>
        <v>342.9</v>
      </c>
      <c r="I504" s="94">
        <f t="shared" ref="I504:J504" si="198">I505</f>
        <v>0</v>
      </c>
      <c r="J504" s="94">
        <f t="shared" si="198"/>
        <v>0</v>
      </c>
    </row>
    <row r="505" spans="1:10" s="37" customFormat="1" ht="14.25" x14ac:dyDescent="0.2">
      <c r="A505" s="27"/>
      <c r="B505" s="70"/>
      <c r="C505" s="56" t="s">
        <v>104</v>
      </c>
      <c r="D505" s="56" t="s">
        <v>88</v>
      </c>
      <c r="E505" s="21" t="s">
        <v>384</v>
      </c>
      <c r="F505" s="21" t="s">
        <v>225</v>
      </c>
      <c r="G505" s="98" t="s">
        <v>224</v>
      </c>
      <c r="H505" s="94">
        <f>120+22.9+200</f>
        <v>342.9</v>
      </c>
      <c r="I505" s="94">
        <v>0</v>
      </c>
      <c r="J505" s="94">
        <v>0</v>
      </c>
    </row>
    <row r="506" spans="1:10" s="37" customFormat="1" ht="63.75" x14ac:dyDescent="0.2">
      <c r="A506" s="27"/>
      <c r="B506" s="70"/>
      <c r="C506" s="56" t="s">
        <v>104</v>
      </c>
      <c r="D506" s="56" t="s">
        <v>88</v>
      </c>
      <c r="E506" s="57" t="s">
        <v>703</v>
      </c>
      <c r="F506" s="21"/>
      <c r="G506" s="98" t="s">
        <v>704</v>
      </c>
      <c r="H506" s="94">
        <f t="shared" ref="H506:J506" si="199">H507</f>
        <v>179.3</v>
      </c>
      <c r="I506" s="94">
        <f t="shared" si="199"/>
        <v>0</v>
      </c>
      <c r="J506" s="94">
        <f t="shared" si="199"/>
        <v>0</v>
      </c>
    </row>
    <row r="507" spans="1:10" s="37" customFormat="1" ht="14.25" x14ac:dyDescent="0.2">
      <c r="A507" s="27"/>
      <c r="B507" s="70"/>
      <c r="C507" s="56" t="s">
        <v>104</v>
      </c>
      <c r="D507" s="56" t="s">
        <v>88</v>
      </c>
      <c r="E507" s="57" t="s">
        <v>703</v>
      </c>
      <c r="F507" s="21" t="s">
        <v>225</v>
      </c>
      <c r="G507" s="98" t="s">
        <v>224</v>
      </c>
      <c r="H507" s="94">
        <v>179.3</v>
      </c>
      <c r="I507" s="94">
        <f t="shared" ref="I507:J507" si="200">150-150</f>
        <v>0</v>
      </c>
      <c r="J507" s="94">
        <f t="shared" si="200"/>
        <v>0</v>
      </c>
    </row>
    <row r="508" spans="1:10" s="37" customFormat="1" ht="63.75" x14ac:dyDescent="0.2">
      <c r="A508" s="27"/>
      <c r="B508" s="70"/>
      <c r="C508" s="56" t="s">
        <v>104</v>
      </c>
      <c r="D508" s="56" t="s">
        <v>88</v>
      </c>
      <c r="E508" s="57" t="s">
        <v>823</v>
      </c>
      <c r="F508" s="21"/>
      <c r="G508" s="98" t="s">
        <v>824</v>
      </c>
      <c r="H508" s="94">
        <f>H509</f>
        <v>0</v>
      </c>
      <c r="I508" s="94">
        <f t="shared" ref="I508:J508" si="201">I509</f>
        <v>15</v>
      </c>
      <c r="J508" s="94">
        <f t="shared" si="201"/>
        <v>0</v>
      </c>
    </row>
    <row r="509" spans="1:10" s="37" customFormat="1" ht="14.25" x14ac:dyDescent="0.2">
      <c r="A509" s="27"/>
      <c r="B509" s="70"/>
      <c r="C509" s="56" t="s">
        <v>104</v>
      </c>
      <c r="D509" s="56" t="s">
        <v>88</v>
      </c>
      <c r="E509" s="57" t="s">
        <v>823</v>
      </c>
      <c r="F509" s="21" t="s">
        <v>225</v>
      </c>
      <c r="G509" s="98" t="s">
        <v>224</v>
      </c>
      <c r="H509" s="94">
        <v>0</v>
      </c>
      <c r="I509" s="94">
        <v>15</v>
      </c>
      <c r="J509" s="94">
        <v>0</v>
      </c>
    </row>
    <row r="510" spans="1:10" s="37" customFormat="1" ht="63.75" x14ac:dyDescent="0.2">
      <c r="A510" s="27"/>
      <c r="B510" s="70"/>
      <c r="C510" s="56" t="s">
        <v>104</v>
      </c>
      <c r="D510" s="56" t="s">
        <v>88</v>
      </c>
      <c r="E510" s="57" t="s">
        <v>825</v>
      </c>
      <c r="F510" s="21"/>
      <c r="G510" s="98" t="s">
        <v>824</v>
      </c>
      <c r="H510" s="94">
        <f>H511</f>
        <v>0</v>
      </c>
      <c r="I510" s="94">
        <f t="shared" ref="I510:J510" si="202">I511</f>
        <v>1485</v>
      </c>
      <c r="J510" s="94">
        <f t="shared" si="202"/>
        <v>0</v>
      </c>
    </row>
    <row r="511" spans="1:10" s="37" customFormat="1" ht="14.25" x14ac:dyDescent="0.2">
      <c r="A511" s="27"/>
      <c r="B511" s="70"/>
      <c r="C511" s="56" t="s">
        <v>104</v>
      </c>
      <c r="D511" s="56" t="s">
        <v>88</v>
      </c>
      <c r="E511" s="57" t="s">
        <v>825</v>
      </c>
      <c r="F511" s="21" t="s">
        <v>225</v>
      </c>
      <c r="G511" s="98" t="s">
        <v>224</v>
      </c>
      <c r="H511" s="94">
        <v>0</v>
      </c>
      <c r="I511" s="94">
        <v>1485</v>
      </c>
      <c r="J511" s="94">
        <v>0</v>
      </c>
    </row>
    <row r="512" spans="1:10" s="37" customFormat="1" ht="14.25" x14ac:dyDescent="0.2">
      <c r="A512" s="27"/>
      <c r="B512" s="70"/>
      <c r="C512" s="35" t="s">
        <v>104</v>
      </c>
      <c r="D512" s="35" t="s">
        <v>89</v>
      </c>
      <c r="E512" s="35"/>
      <c r="F512" s="35"/>
      <c r="G512" s="45" t="s">
        <v>108</v>
      </c>
      <c r="H512" s="42">
        <f>H513+H568</f>
        <v>495371.40000000008</v>
      </c>
      <c r="I512" s="42">
        <f>I513+I568</f>
        <v>481627.1</v>
      </c>
      <c r="J512" s="42">
        <f>J513+J568</f>
        <v>503335.4</v>
      </c>
    </row>
    <row r="513" spans="1:10" s="37" customFormat="1" ht="77.25" x14ac:dyDescent="0.25">
      <c r="A513" s="27"/>
      <c r="B513" s="70"/>
      <c r="C513" s="16" t="s">
        <v>104</v>
      </c>
      <c r="D513" s="16" t="s">
        <v>89</v>
      </c>
      <c r="E513" s="21" t="s">
        <v>73</v>
      </c>
      <c r="F513" s="35"/>
      <c r="G513" s="64" t="s">
        <v>571</v>
      </c>
      <c r="H513" s="65">
        <f>H514</f>
        <v>495021.40000000008</v>
      </c>
      <c r="I513" s="65">
        <f t="shared" ref="I513:J513" si="203">I514</f>
        <v>481627.1</v>
      </c>
      <c r="J513" s="65">
        <f t="shared" si="203"/>
        <v>503335.4</v>
      </c>
    </row>
    <row r="514" spans="1:10" s="37" customFormat="1" ht="39.75" customHeight="1" x14ac:dyDescent="0.2">
      <c r="A514" s="27"/>
      <c r="B514" s="70"/>
      <c r="C514" s="47" t="s">
        <v>104</v>
      </c>
      <c r="D514" s="47" t="s">
        <v>89</v>
      </c>
      <c r="E514" s="52" t="s">
        <v>75</v>
      </c>
      <c r="F514" s="21"/>
      <c r="G514" s="46" t="s">
        <v>559</v>
      </c>
      <c r="H514" s="94">
        <f>H515+H528+H537+H544+H551+H562+H565</f>
        <v>495021.40000000008</v>
      </c>
      <c r="I514" s="94">
        <f>I515+I528+I537+I544+I551+I562+I565</f>
        <v>481627.1</v>
      </c>
      <c r="J514" s="94">
        <f>J515+J528+J537+J544+J551+J562+J565</f>
        <v>503335.4</v>
      </c>
    </row>
    <row r="515" spans="1:10" s="37" customFormat="1" ht="65.25" customHeight="1" x14ac:dyDescent="0.2">
      <c r="A515" s="27"/>
      <c r="B515" s="70"/>
      <c r="C515" s="56" t="s">
        <v>104</v>
      </c>
      <c r="D515" s="90" t="s">
        <v>89</v>
      </c>
      <c r="E515" s="21" t="s">
        <v>287</v>
      </c>
      <c r="F515" s="35"/>
      <c r="G515" s="97" t="s">
        <v>390</v>
      </c>
      <c r="H515" s="94">
        <f>H516+H518+H520+H522+H524+H526</f>
        <v>431905.30000000005</v>
      </c>
      <c r="I515" s="94">
        <f t="shared" ref="I515:J515" si="204">I516+I518+I520+I522+I524+I526</f>
        <v>431665.4</v>
      </c>
      <c r="J515" s="94">
        <f t="shared" si="204"/>
        <v>450208</v>
      </c>
    </row>
    <row r="516" spans="1:10" s="37" customFormat="1" ht="76.5" x14ac:dyDescent="0.2">
      <c r="A516" s="27"/>
      <c r="B516" s="70"/>
      <c r="C516" s="56" t="s">
        <v>104</v>
      </c>
      <c r="D516" s="90" t="s">
        <v>89</v>
      </c>
      <c r="E516" s="82" t="s">
        <v>392</v>
      </c>
      <c r="F516" s="82"/>
      <c r="G516" s="98" t="s">
        <v>391</v>
      </c>
      <c r="H516" s="94">
        <f>H517</f>
        <v>304307.20000000001</v>
      </c>
      <c r="I516" s="94">
        <f>I517</f>
        <v>325234.90000000002</v>
      </c>
      <c r="J516" s="94">
        <f>J517</f>
        <v>343777.5</v>
      </c>
    </row>
    <row r="517" spans="1:10" s="37" customFormat="1" ht="14.25" x14ac:dyDescent="0.2">
      <c r="A517" s="27"/>
      <c r="B517" s="70"/>
      <c r="C517" s="56" t="s">
        <v>104</v>
      </c>
      <c r="D517" s="90" t="s">
        <v>89</v>
      </c>
      <c r="E517" s="57" t="s">
        <v>392</v>
      </c>
      <c r="F517" s="21" t="s">
        <v>225</v>
      </c>
      <c r="G517" s="98" t="s">
        <v>224</v>
      </c>
      <c r="H517" s="39">
        <f>250542.2-2+17608.2+36158.8</f>
        <v>304307.20000000001</v>
      </c>
      <c r="I517" s="39">
        <f>250596.1+0.2+17078.2+57560.4</f>
        <v>325234.90000000002</v>
      </c>
      <c r="J517" s="39">
        <f>250596.1+0.2+17078.2+76103</f>
        <v>343777.5</v>
      </c>
    </row>
    <row r="518" spans="1:10" s="37" customFormat="1" ht="63.75" x14ac:dyDescent="0.2">
      <c r="A518" s="27"/>
      <c r="B518" s="70"/>
      <c r="C518" s="16" t="s">
        <v>104</v>
      </c>
      <c r="D518" s="16" t="s">
        <v>89</v>
      </c>
      <c r="E518" s="57" t="s">
        <v>393</v>
      </c>
      <c r="F518" s="21"/>
      <c r="G518" s="98" t="s">
        <v>286</v>
      </c>
      <c r="H518" s="94">
        <f>H519</f>
        <v>97099.199999999997</v>
      </c>
      <c r="I518" s="94">
        <f>I519</f>
        <v>90572.1</v>
      </c>
      <c r="J518" s="94">
        <f>J519</f>
        <v>90572.1</v>
      </c>
    </row>
    <row r="519" spans="1:10" s="37" customFormat="1" ht="14.25" x14ac:dyDescent="0.2">
      <c r="A519" s="27"/>
      <c r="B519" s="70"/>
      <c r="C519" s="56" t="s">
        <v>104</v>
      </c>
      <c r="D519" s="90" t="s">
        <v>89</v>
      </c>
      <c r="E519" s="57" t="s">
        <v>393</v>
      </c>
      <c r="F519" s="21" t="s">
        <v>225</v>
      </c>
      <c r="G519" s="98" t="s">
        <v>224</v>
      </c>
      <c r="H519" s="94">
        <f>90572.1+3801.7+1686.2+1045.7-6.5</f>
        <v>97099.199999999997</v>
      </c>
      <c r="I519" s="94">
        <v>90572.1</v>
      </c>
      <c r="J519" s="94">
        <v>90572.1</v>
      </c>
    </row>
    <row r="520" spans="1:10" s="37" customFormat="1" ht="63.75" x14ac:dyDescent="0.2">
      <c r="A520" s="27"/>
      <c r="B520" s="70"/>
      <c r="C520" s="56" t="s">
        <v>104</v>
      </c>
      <c r="D520" s="90" t="s">
        <v>89</v>
      </c>
      <c r="E520" s="57" t="s">
        <v>747</v>
      </c>
      <c r="F520" s="21"/>
      <c r="G520" s="98" t="s">
        <v>394</v>
      </c>
      <c r="H520" s="94">
        <f>H521</f>
        <v>29542.400000000001</v>
      </c>
      <c r="I520" s="94">
        <f>I521</f>
        <v>15858.4</v>
      </c>
      <c r="J520" s="94">
        <f>J521</f>
        <v>15858.4</v>
      </c>
    </row>
    <row r="521" spans="1:10" s="37" customFormat="1" ht="14.25" x14ac:dyDescent="0.2">
      <c r="A521" s="27"/>
      <c r="B521" s="70"/>
      <c r="C521" s="16" t="s">
        <v>104</v>
      </c>
      <c r="D521" s="16" t="s">
        <v>89</v>
      </c>
      <c r="E521" s="57" t="s">
        <v>747</v>
      </c>
      <c r="F521" s="21" t="s">
        <v>225</v>
      </c>
      <c r="G521" s="98" t="s">
        <v>224</v>
      </c>
      <c r="H521" s="1">
        <f>15858.4+13684</f>
        <v>29542.400000000001</v>
      </c>
      <c r="I521" s="1">
        <v>15858.4</v>
      </c>
      <c r="J521" s="1">
        <v>15858.4</v>
      </c>
    </row>
    <row r="522" spans="1:10" s="37" customFormat="1" ht="63.75" x14ac:dyDescent="0.2">
      <c r="A522" s="27"/>
      <c r="B522" s="70"/>
      <c r="C522" s="56" t="s">
        <v>104</v>
      </c>
      <c r="D522" s="90" t="s">
        <v>89</v>
      </c>
      <c r="E522" s="57" t="s">
        <v>804</v>
      </c>
      <c r="F522" s="21"/>
      <c r="G522" s="98" t="s">
        <v>803</v>
      </c>
      <c r="H522" s="1">
        <f>H523</f>
        <v>312.5</v>
      </c>
      <c r="I522" s="1">
        <f t="shared" ref="I522:J522" si="205">I523</f>
        <v>0</v>
      </c>
      <c r="J522" s="1">
        <f t="shared" si="205"/>
        <v>0</v>
      </c>
    </row>
    <row r="523" spans="1:10" s="37" customFormat="1" ht="14.25" x14ac:dyDescent="0.2">
      <c r="A523" s="27"/>
      <c r="B523" s="70"/>
      <c r="C523" s="16" t="s">
        <v>104</v>
      </c>
      <c r="D523" s="16" t="s">
        <v>89</v>
      </c>
      <c r="E523" s="57" t="s">
        <v>804</v>
      </c>
      <c r="F523" s="21" t="s">
        <v>225</v>
      </c>
      <c r="G523" s="98" t="s">
        <v>224</v>
      </c>
      <c r="H523" s="1">
        <v>312.5</v>
      </c>
      <c r="I523" s="1">
        <v>0</v>
      </c>
      <c r="J523" s="1">
        <v>0</v>
      </c>
    </row>
    <row r="524" spans="1:10" s="37" customFormat="1" ht="51.75" x14ac:dyDescent="0.25">
      <c r="A524" s="27"/>
      <c r="B524" s="70"/>
      <c r="C524" s="56" t="s">
        <v>104</v>
      </c>
      <c r="D524" s="90" t="s">
        <v>89</v>
      </c>
      <c r="E524" s="205" t="s">
        <v>812</v>
      </c>
      <c r="F524" s="21"/>
      <c r="G524" s="108" t="s">
        <v>813</v>
      </c>
      <c r="H524" s="39">
        <f>H525</f>
        <v>637.5</v>
      </c>
      <c r="I524" s="39">
        <f t="shared" ref="I524:J524" si="206">I525</f>
        <v>0</v>
      </c>
      <c r="J524" s="39">
        <f t="shared" si="206"/>
        <v>0</v>
      </c>
    </row>
    <row r="525" spans="1:10" s="37" customFormat="1" ht="15" x14ac:dyDescent="0.25">
      <c r="A525" s="27"/>
      <c r="B525" s="70"/>
      <c r="C525" s="16" t="s">
        <v>104</v>
      </c>
      <c r="D525" s="16" t="s">
        <v>89</v>
      </c>
      <c r="E525" s="205" t="s">
        <v>812</v>
      </c>
      <c r="F525" s="21" t="s">
        <v>225</v>
      </c>
      <c r="G525" s="98" t="s">
        <v>224</v>
      </c>
      <c r="H525" s="1">
        <v>637.5</v>
      </c>
      <c r="I525" s="1">
        <v>0</v>
      </c>
      <c r="J525" s="1">
        <v>0</v>
      </c>
    </row>
    <row r="526" spans="1:10" s="37" customFormat="1" ht="64.5" x14ac:dyDescent="0.25">
      <c r="A526" s="27"/>
      <c r="B526" s="70"/>
      <c r="C526" s="56" t="s">
        <v>104</v>
      </c>
      <c r="D526" s="90" t="s">
        <v>89</v>
      </c>
      <c r="E526" s="205" t="s">
        <v>814</v>
      </c>
      <c r="F526" s="21"/>
      <c r="G526" s="108" t="s">
        <v>815</v>
      </c>
      <c r="H526" s="1">
        <f>H527</f>
        <v>6.5</v>
      </c>
      <c r="I526" s="1">
        <f t="shared" ref="I526:J526" si="207">I527</f>
        <v>0</v>
      </c>
      <c r="J526" s="1">
        <f t="shared" si="207"/>
        <v>0</v>
      </c>
    </row>
    <row r="527" spans="1:10" s="37" customFormat="1" ht="15" x14ac:dyDescent="0.25">
      <c r="A527" s="27"/>
      <c r="B527" s="70"/>
      <c r="C527" s="56" t="s">
        <v>104</v>
      </c>
      <c r="D527" s="90" t="s">
        <v>89</v>
      </c>
      <c r="E527" s="205" t="s">
        <v>814</v>
      </c>
      <c r="F527" s="21" t="s">
        <v>225</v>
      </c>
      <c r="G527" s="98" t="s">
        <v>224</v>
      </c>
      <c r="H527" s="1">
        <v>6.5</v>
      </c>
      <c r="I527" s="39">
        <v>0</v>
      </c>
      <c r="J527" s="39">
        <v>0</v>
      </c>
    </row>
    <row r="528" spans="1:10" s="37" customFormat="1" ht="38.25" x14ac:dyDescent="0.2">
      <c r="A528" s="27"/>
      <c r="B528" s="70"/>
      <c r="C528" s="16" t="s">
        <v>104</v>
      </c>
      <c r="D528" s="16" t="s">
        <v>89</v>
      </c>
      <c r="E528" s="21" t="s">
        <v>396</v>
      </c>
      <c r="F528" s="82"/>
      <c r="G528" s="97" t="s">
        <v>395</v>
      </c>
      <c r="H528" s="94">
        <f>+H529+H531+H533+H535</f>
        <v>5244.9</v>
      </c>
      <c r="I528" s="94">
        <f t="shared" ref="I528:J528" si="208">+I529+I531+I533+I535</f>
        <v>0</v>
      </c>
      <c r="J528" s="94">
        <f t="shared" si="208"/>
        <v>0</v>
      </c>
    </row>
    <row r="529" spans="1:10" s="37" customFormat="1" ht="51" x14ac:dyDescent="0.2">
      <c r="A529" s="27"/>
      <c r="B529" s="70"/>
      <c r="C529" s="16" t="s">
        <v>104</v>
      </c>
      <c r="D529" s="16" t="s">
        <v>89</v>
      </c>
      <c r="E529" s="57" t="s">
        <v>397</v>
      </c>
      <c r="F529" s="21"/>
      <c r="G529" s="98" t="s">
        <v>398</v>
      </c>
      <c r="H529" s="94">
        <f>H530</f>
        <v>1154</v>
      </c>
      <c r="I529" s="94">
        <f>I530</f>
        <v>0</v>
      </c>
      <c r="J529" s="94">
        <f>J530</f>
        <v>0</v>
      </c>
    </row>
    <row r="530" spans="1:10" s="37" customFormat="1" ht="14.25" x14ac:dyDescent="0.2">
      <c r="A530" s="27"/>
      <c r="B530" s="70"/>
      <c r="C530" s="16" t="s">
        <v>104</v>
      </c>
      <c r="D530" s="16" t="s">
        <v>89</v>
      </c>
      <c r="E530" s="57" t="s">
        <v>397</v>
      </c>
      <c r="F530" s="21" t="s">
        <v>225</v>
      </c>
      <c r="G530" s="98" t="s">
        <v>224</v>
      </c>
      <c r="H530" s="94">
        <f>454+120.2+700-20.2-100</f>
        <v>1154</v>
      </c>
      <c r="I530" s="94">
        <v>0</v>
      </c>
      <c r="J530" s="94">
        <v>0</v>
      </c>
    </row>
    <row r="531" spans="1:10" s="37" customFormat="1" ht="63.75" x14ac:dyDescent="0.2">
      <c r="A531" s="27"/>
      <c r="B531" s="70"/>
      <c r="C531" s="16" t="s">
        <v>104</v>
      </c>
      <c r="D531" s="16" t="s">
        <v>89</v>
      </c>
      <c r="E531" s="57" t="s">
        <v>399</v>
      </c>
      <c r="F531" s="57"/>
      <c r="G531" s="124" t="s">
        <v>400</v>
      </c>
      <c r="H531" s="94">
        <f>H532</f>
        <v>2249.4</v>
      </c>
      <c r="I531" s="94">
        <f>I532</f>
        <v>0</v>
      </c>
      <c r="J531" s="94">
        <f>J532</f>
        <v>0</v>
      </c>
    </row>
    <row r="532" spans="1:10" s="37" customFormat="1" ht="14.25" x14ac:dyDescent="0.2">
      <c r="A532" s="27"/>
      <c r="B532" s="70"/>
      <c r="C532" s="16" t="s">
        <v>104</v>
      </c>
      <c r="D532" s="16" t="s">
        <v>89</v>
      </c>
      <c r="E532" s="57" t="s">
        <v>399</v>
      </c>
      <c r="F532" s="21" t="s">
        <v>225</v>
      </c>
      <c r="G532" s="98" t="s">
        <v>224</v>
      </c>
      <c r="H532" s="94">
        <f>864.7+1036-120.2+369.4+99.5</f>
        <v>2249.4</v>
      </c>
      <c r="I532" s="94">
        <v>0</v>
      </c>
      <c r="J532" s="94">
        <v>0</v>
      </c>
    </row>
    <row r="533" spans="1:10" s="37" customFormat="1" ht="51" x14ac:dyDescent="0.2">
      <c r="A533" s="27"/>
      <c r="B533" s="70"/>
      <c r="C533" s="16" t="s">
        <v>104</v>
      </c>
      <c r="D533" s="16" t="s">
        <v>89</v>
      </c>
      <c r="E533" s="57" t="s">
        <v>609</v>
      </c>
      <c r="F533" s="21"/>
      <c r="G533" s="98" t="s">
        <v>610</v>
      </c>
      <c r="H533" s="94">
        <f>H534</f>
        <v>841.5</v>
      </c>
      <c r="I533" s="94">
        <f t="shared" ref="I533:J533" si="209">I534</f>
        <v>0</v>
      </c>
      <c r="J533" s="94">
        <f t="shared" si="209"/>
        <v>0</v>
      </c>
    </row>
    <row r="534" spans="1:10" s="37" customFormat="1" ht="14.25" x14ac:dyDescent="0.2">
      <c r="A534" s="27"/>
      <c r="B534" s="70"/>
      <c r="C534" s="16" t="s">
        <v>104</v>
      </c>
      <c r="D534" s="16" t="s">
        <v>89</v>
      </c>
      <c r="E534" s="57" t="s">
        <v>609</v>
      </c>
      <c r="F534" s="21" t="s">
        <v>225</v>
      </c>
      <c r="G534" s="98" t="s">
        <v>224</v>
      </c>
      <c r="H534" s="94">
        <f>500+341.5</f>
        <v>841.5</v>
      </c>
      <c r="I534" s="94">
        <v>0</v>
      </c>
      <c r="J534" s="94">
        <v>0</v>
      </c>
    </row>
    <row r="535" spans="1:10" s="37" customFormat="1" ht="63.75" x14ac:dyDescent="0.2">
      <c r="A535" s="27"/>
      <c r="B535" s="70"/>
      <c r="C535" s="16" t="s">
        <v>104</v>
      </c>
      <c r="D535" s="16" t="s">
        <v>89</v>
      </c>
      <c r="E535" s="57" t="s">
        <v>741</v>
      </c>
      <c r="F535" s="21"/>
      <c r="G535" s="98" t="s">
        <v>742</v>
      </c>
      <c r="H535" s="94">
        <f>H536</f>
        <v>1000</v>
      </c>
      <c r="I535" s="94">
        <f t="shared" ref="I535:J535" si="210">I536</f>
        <v>0</v>
      </c>
      <c r="J535" s="94">
        <f t="shared" si="210"/>
        <v>0</v>
      </c>
    </row>
    <row r="536" spans="1:10" s="37" customFormat="1" ht="14.25" x14ac:dyDescent="0.2">
      <c r="A536" s="27"/>
      <c r="B536" s="70"/>
      <c r="C536" s="16" t="s">
        <v>104</v>
      </c>
      <c r="D536" s="16" t="s">
        <v>89</v>
      </c>
      <c r="E536" s="57" t="s">
        <v>741</v>
      </c>
      <c r="F536" s="21" t="s">
        <v>225</v>
      </c>
      <c r="G536" s="98" t="s">
        <v>224</v>
      </c>
      <c r="H536" s="94">
        <v>1000</v>
      </c>
      <c r="I536" s="94">
        <v>0</v>
      </c>
      <c r="J536" s="94">
        <v>0</v>
      </c>
    </row>
    <row r="537" spans="1:10" s="37" customFormat="1" ht="63.75" x14ac:dyDescent="0.2">
      <c r="A537" s="27"/>
      <c r="B537" s="70"/>
      <c r="C537" s="16" t="s">
        <v>104</v>
      </c>
      <c r="D537" s="16" t="s">
        <v>89</v>
      </c>
      <c r="E537" s="21" t="s">
        <v>401</v>
      </c>
      <c r="F537" s="21"/>
      <c r="G537" s="97" t="s">
        <v>735</v>
      </c>
      <c r="H537" s="94">
        <f>H538+H540+H542</f>
        <v>26779.7</v>
      </c>
      <c r="I537" s="94">
        <f t="shared" ref="I537:J537" si="211">I538+I540+I542</f>
        <v>28469</v>
      </c>
      <c r="J537" s="94">
        <f t="shared" si="211"/>
        <v>26563.8</v>
      </c>
    </row>
    <row r="538" spans="1:10" s="37" customFormat="1" ht="38.25" x14ac:dyDescent="0.2">
      <c r="A538" s="27"/>
      <c r="B538" s="70"/>
      <c r="C538" s="16" t="s">
        <v>104</v>
      </c>
      <c r="D538" s="16" t="s">
        <v>89</v>
      </c>
      <c r="E538" s="57" t="s">
        <v>402</v>
      </c>
      <c r="F538" s="21"/>
      <c r="G538" s="98" t="s">
        <v>307</v>
      </c>
      <c r="H538" s="94">
        <f>H539</f>
        <v>5242.3</v>
      </c>
      <c r="I538" s="94">
        <f>I539</f>
        <v>5242.3</v>
      </c>
      <c r="J538" s="94">
        <f>J539</f>
        <v>5242.3</v>
      </c>
    </row>
    <row r="539" spans="1:10" s="37" customFormat="1" ht="14.25" x14ac:dyDescent="0.2">
      <c r="A539" s="27"/>
      <c r="B539" s="70"/>
      <c r="C539" s="16" t="s">
        <v>104</v>
      </c>
      <c r="D539" s="16" t="s">
        <v>89</v>
      </c>
      <c r="E539" s="57" t="s">
        <v>402</v>
      </c>
      <c r="F539" s="21" t="s">
        <v>225</v>
      </c>
      <c r="G539" s="98" t="s">
        <v>224</v>
      </c>
      <c r="H539" s="39">
        <v>5242.3</v>
      </c>
      <c r="I539" s="39">
        <v>5242.3</v>
      </c>
      <c r="J539" s="39">
        <v>5242.3</v>
      </c>
    </row>
    <row r="540" spans="1:10" s="37" customFormat="1" ht="76.5" x14ac:dyDescent="0.2">
      <c r="A540" s="27"/>
      <c r="B540" s="70"/>
      <c r="C540" s="16" t="s">
        <v>104</v>
      </c>
      <c r="D540" s="16" t="s">
        <v>89</v>
      </c>
      <c r="E540" s="21" t="s">
        <v>403</v>
      </c>
      <c r="F540" s="21"/>
      <c r="G540" s="98" t="s">
        <v>135</v>
      </c>
      <c r="H540" s="94">
        <f>H541</f>
        <v>21321.5</v>
      </c>
      <c r="I540" s="94">
        <f>I541</f>
        <v>23166.799999999999</v>
      </c>
      <c r="J540" s="94">
        <f>J541</f>
        <v>21321.5</v>
      </c>
    </row>
    <row r="541" spans="1:10" s="37" customFormat="1" ht="14.25" x14ac:dyDescent="0.2">
      <c r="A541" s="27"/>
      <c r="B541" s="70"/>
      <c r="C541" s="82" t="s">
        <v>104</v>
      </c>
      <c r="D541" s="16" t="s">
        <v>89</v>
      </c>
      <c r="E541" s="21" t="s">
        <v>403</v>
      </c>
      <c r="F541" s="21" t="s">
        <v>225</v>
      </c>
      <c r="G541" s="98" t="s">
        <v>224</v>
      </c>
      <c r="H541" s="94">
        <v>21321.5</v>
      </c>
      <c r="I541" s="94">
        <f>21321.5+1845.3</f>
        <v>23166.799999999999</v>
      </c>
      <c r="J541" s="94">
        <v>21321.5</v>
      </c>
    </row>
    <row r="542" spans="1:10" s="37" customFormat="1" ht="76.5" x14ac:dyDescent="0.2">
      <c r="A542" s="27"/>
      <c r="B542" s="70"/>
      <c r="C542" s="16" t="s">
        <v>104</v>
      </c>
      <c r="D542" s="16" t="s">
        <v>89</v>
      </c>
      <c r="E542" s="21" t="s">
        <v>404</v>
      </c>
      <c r="F542" s="21"/>
      <c r="G542" s="98" t="s">
        <v>569</v>
      </c>
      <c r="H542" s="94">
        <f>H543</f>
        <v>215.9</v>
      </c>
      <c r="I542" s="94">
        <f>I543</f>
        <v>59.900000000000006</v>
      </c>
      <c r="J542" s="94">
        <f>J543</f>
        <v>0</v>
      </c>
    </row>
    <row r="543" spans="1:10" s="37" customFormat="1" ht="14.25" x14ac:dyDescent="0.2">
      <c r="A543" s="27"/>
      <c r="B543" s="70"/>
      <c r="C543" s="16" t="s">
        <v>104</v>
      </c>
      <c r="D543" s="16" t="s">
        <v>89</v>
      </c>
      <c r="E543" s="21" t="s">
        <v>404</v>
      </c>
      <c r="F543" s="21" t="s">
        <v>225</v>
      </c>
      <c r="G543" s="98" t="s">
        <v>224</v>
      </c>
      <c r="H543" s="41">
        <f>240-24.1</f>
        <v>215.9</v>
      </c>
      <c r="I543" s="41">
        <f>74.9-15</f>
        <v>59.900000000000006</v>
      </c>
      <c r="J543" s="41">
        <v>0</v>
      </c>
    </row>
    <row r="544" spans="1:10" s="37" customFormat="1" ht="51" x14ac:dyDescent="0.2">
      <c r="A544" s="27"/>
      <c r="B544" s="70"/>
      <c r="C544" s="82" t="s">
        <v>104</v>
      </c>
      <c r="D544" s="82" t="s">
        <v>89</v>
      </c>
      <c r="E544" s="21" t="s">
        <v>405</v>
      </c>
      <c r="F544" s="21"/>
      <c r="G544" s="97" t="s">
        <v>406</v>
      </c>
      <c r="H544" s="41">
        <f>H545+H547+H549</f>
        <v>24878.399999999998</v>
      </c>
      <c r="I544" s="41">
        <f t="shared" ref="I544:J544" si="212">I545+I547+I549</f>
        <v>18674.599999999999</v>
      </c>
      <c r="J544" s="41">
        <f t="shared" si="212"/>
        <v>23209.200000000001</v>
      </c>
    </row>
    <row r="545" spans="1:10" s="37" customFormat="1" ht="63.75" x14ac:dyDescent="0.2">
      <c r="A545" s="27"/>
      <c r="B545" s="70"/>
      <c r="C545" s="16" t="s">
        <v>104</v>
      </c>
      <c r="D545" s="16" t="s">
        <v>89</v>
      </c>
      <c r="E545" s="21" t="s">
        <v>643</v>
      </c>
      <c r="F545" s="82"/>
      <c r="G545" s="55" t="s">
        <v>371</v>
      </c>
      <c r="H545" s="41">
        <f>H546</f>
        <v>19143.3</v>
      </c>
      <c r="I545" s="41">
        <f t="shared" ref="I545:J545" si="213">I546</f>
        <v>18674.599999999999</v>
      </c>
      <c r="J545" s="41">
        <f t="shared" si="213"/>
        <v>18296.400000000001</v>
      </c>
    </row>
    <row r="546" spans="1:10" s="37" customFormat="1" ht="14.25" x14ac:dyDescent="0.2">
      <c r="A546" s="27"/>
      <c r="B546" s="70"/>
      <c r="C546" s="16" t="s">
        <v>104</v>
      </c>
      <c r="D546" s="16" t="s">
        <v>89</v>
      </c>
      <c r="E546" s="21" t="s">
        <v>643</v>
      </c>
      <c r="F546" s="21" t="s">
        <v>225</v>
      </c>
      <c r="G546" s="98" t="s">
        <v>224</v>
      </c>
      <c r="H546" s="39">
        <v>19143.3</v>
      </c>
      <c r="I546" s="39">
        <v>18674.599999999999</v>
      </c>
      <c r="J546" s="39">
        <v>18296.400000000001</v>
      </c>
    </row>
    <row r="547" spans="1:10" s="37" customFormat="1" ht="63.75" x14ac:dyDescent="0.2">
      <c r="A547" s="27"/>
      <c r="B547" s="70"/>
      <c r="C547" s="16" t="s">
        <v>104</v>
      </c>
      <c r="D547" s="16" t="s">
        <v>89</v>
      </c>
      <c r="E547" s="21" t="s">
        <v>550</v>
      </c>
      <c r="F547" s="21"/>
      <c r="G547" s="98" t="s">
        <v>551</v>
      </c>
      <c r="H547" s="41">
        <f>H548</f>
        <v>5052.5</v>
      </c>
      <c r="I547" s="41">
        <f t="shared" ref="I547:J549" si="214">I548</f>
        <v>0</v>
      </c>
      <c r="J547" s="41">
        <f t="shared" si="214"/>
        <v>4912.8</v>
      </c>
    </row>
    <row r="548" spans="1:10" s="37" customFormat="1" ht="14.25" x14ac:dyDescent="0.2">
      <c r="A548" s="27"/>
      <c r="B548" s="70"/>
      <c r="C548" s="16" t="s">
        <v>104</v>
      </c>
      <c r="D548" s="16" t="s">
        <v>89</v>
      </c>
      <c r="E548" s="21" t="s">
        <v>550</v>
      </c>
      <c r="F548" s="21" t="s">
        <v>225</v>
      </c>
      <c r="G548" s="98" t="s">
        <v>224</v>
      </c>
      <c r="H548" s="41">
        <f>5252.5-200</f>
        <v>5052.5</v>
      </c>
      <c r="I548" s="41">
        <v>0</v>
      </c>
      <c r="J548" s="41">
        <v>4912.8</v>
      </c>
    </row>
    <row r="549" spans="1:10" s="37" customFormat="1" ht="76.5" x14ac:dyDescent="0.2">
      <c r="A549" s="27"/>
      <c r="B549" s="70"/>
      <c r="C549" s="16" t="s">
        <v>104</v>
      </c>
      <c r="D549" s="16" t="s">
        <v>89</v>
      </c>
      <c r="E549" s="21" t="s">
        <v>777</v>
      </c>
      <c r="F549" s="21"/>
      <c r="G549" s="98" t="s">
        <v>778</v>
      </c>
      <c r="H549" s="41">
        <f>H550</f>
        <v>682.6</v>
      </c>
      <c r="I549" s="41">
        <f t="shared" si="214"/>
        <v>0</v>
      </c>
      <c r="J549" s="41">
        <f t="shared" si="214"/>
        <v>0</v>
      </c>
    </row>
    <row r="550" spans="1:10" s="37" customFormat="1" ht="14.25" x14ac:dyDescent="0.2">
      <c r="A550" s="27"/>
      <c r="B550" s="70"/>
      <c r="C550" s="16" t="s">
        <v>104</v>
      </c>
      <c r="D550" s="16" t="s">
        <v>89</v>
      </c>
      <c r="E550" s="21" t="s">
        <v>777</v>
      </c>
      <c r="F550" s="21" t="s">
        <v>225</v>
      </c>
      <c r="G550" s="98" t="s">
        <v>224</v>
      </c>
      <c r="H550" s="41">
        <f>200+24.1+458.5</f>
        <v>682.6</v>
      </c>
      <c r="I550" s="41">
        <v>0</v>
      </c>
      <c r="J550" s="41">
        <v>0</v>
      </c>
    </row>
    <row r="551" spans="1:10" s="37" customFormat="1" ht="38.25" x14ac:dyDescent="0.2">
      <c r="A551" s="27"/>
      <c r="B551" s="70"/>
      <c r="C551" s="16" t="s">
        <v>104</v>
      </c>
      <c r="D551" s="16" t="s">
        <v>89</v>
      </c>
      <c r="E551" s="57" t="s">
        <v>611</v>
      </c>
      <c r="F551" s="21"/>
      <c r="G551" s="148" t="s">
        <v>612</v>
      </c>
      <c r="H551" s="41">
        <f>H552+H554+H556+H558+H560</f>
        <v>1104.2</v>
      </c>
      <c r="I551" s="41">
        <f t="shared" ref="I551:J551" si="215">I552+I554+I556</f>
        <v>250</v>
      </c>
      <c r="J551" s="41">
        <f t="shared" si="215"/>
        <v>250</v>
      </c>
    </row>
    <row r="552" spans="1:10" s="37" customFormat="1" ht="51" x14ac:dyDescent="0.2">
      <c r="A552" s="27"/>
      <c r="B552" s="70"/>
      <c r="C552" s="16" t="s">
        <v>104</v>
      </c>
      <c r="D552" s="16" t="s">
        <v>89</v>
      </c>
      <c r="E552" s="57" t="s">
        <v>677</v>
      </c>
      <c r="F552" s="21"/>
      <c r="G552" s="97" t="s">
        <v>678</v>
      </c>
      <c r="H552" s="41">
        <f>H553</f>
        <v>0</v>
      </c>
      <c r="I552" s="41">
        <f>I553</f>
        <v>250</v>
      </c>
      <c r="J552" s="41">
        <f>J553</f>
        <v>250</v>
      </c>
    </row>
    <row r="553" spans="1:10" s="37" customFormat="1" ht="14.25" x14ac:dyDescent="0.2">
      <c r="A553" s="27"/>
      <c r="B553" s="70"/>
      <c r="C553" s="16" t="s">
        <v>104</v>
      </c>
      <c r="D553" s="16" t="s">
        <v>89</v>
      </c>
      <c r="E553" s="57" t="s">
        <v>677</v>
      </c>
      <c r="F553" s="21" t="s">
        <v>225</v>
      </c>
      <c r="G553" s="98" t="s">
        <v>224</v>
      </c>
      <c r="H553" s="41">
        <v>0</v>
      </c>
      <c r="I553" s="41">
        <v>250</v>
      </c>
      <c r="J553" s="41">
        <v>250</v>
      </c>
    </row>
    <row r="554" spans="1:10" s="37" customFormat="1" ht="51" x14ac:dyDescent="0.2">
      <c r="A554" s="27"/>
      <c r="B554" s="70"/>
      <c r="C554" s="16" t="s">
        <v>104</v>
      </c>
      <c r="D554" s="16" t="s">
        <v>89</v>
      </c>
      <c r="E554" s="57" t="s">
        <v>712</v>
      </c>
      <c r="F554" s="21"/>
      <c r="G554" s="97" t="s">
        <v>714</v>
      </c>
      <c r="H554" s="41">
        <f>H555</f>
        <v>208.1</v>
      </c>
      <c r="I554" s="41">
        <f t="shared" ref="I554:J554" si="216">I555</f>
        <v>0</v>
      </c>
      <c r="J554" s="41">
        <f t="shared" si="216"/>
        <v>0</v>
      </c>
    </row>
    <row r="555" spans="1:10" s="37" customFormat="1" ht="14.25" x14ac:dyDescent="0.2">
      <c r="A555" s="27"/>
      <c r="B555" s="70"/>
      <c r="C555" s="16" t="s">
        <v>104</v>
      </c>
      <c r="D555" s="16" t="s">
        <v>89</v>
      </c>
      <c r="E555" s="57" t="s">
        <v>712</v>
      </c>
      <c r="F555" s="21" t="s">
        <v>225</v>
      </c>
      <c r="G555" s="98" t="s">
        <v>224</v>
      </c>
      <c r="H555" s="41">
        <f>125+90-6.9</f>
        <v>208.1</v>
      </c>
      <c r="I555" s="41">
        <v>0</v>
      </c>
      <c r="J555" s="41">
        <v>0</v>
      </c>
    </row>
    <row r="556" spans="1:10" s="37" customFormat="1" ht="38.25" x14ac:dyDescent="0.2">
      <c r="A556" s="27"/>
      <c r="B556" s="70"/>
      <c r="C556" s="16" t="s">
        <v>104</v>
      </c>
      <c r="D556" s="16" t="s">
        <v>89</v>
      </c>
      <c r="E556" s="57" t="s">
        <v>713</v>
      </c>
      <c r="F556" s="21"/>
      <c r="G556" s="97" t="s">
        <v>743</v>
      </c>
      <c r="H556" s="41">
        <f>H557</f>
        <v>215</v>
      </c>
      <c r="I556" s="41">
        <f t="shared" ref="I556:J556" si="217">I557</f>
        <v>0</v>
      </c>
      <c r="J556" s="41">
        <f t="shared" si="217"/>
        <v>0</v>
      </c>
    </row>
    <row r="557" spans="1:10" s="37" customFormat="1" ht="14.25" x14ac:dyDescent="0.2">
      <c r="A557" s="27"/>
      <c r="B557" s="70"/>
      <c r="C557" s="16" t="s">
        <v>104</v>
      </c>
      <c r="D557" s="16" t="s">
        <v>89</v>
      </c>
      <c r="E557" s="57" t="s">
        <v>713</v>
      </c>
      <c r="F557" s="21" t="s">
        <v>225</v>
      </c>
      <c r="G557" s="98" t="s">
        <v>224</v>
      </c>
      <c r="H557" s="41">
        <f>125+90</f>
        <v>215</v>
      </c>
      <c r="I557" s="41">
        <v>0</v>
      </c>
      <c r="J557" s="41">
        <v>0</v>
      </c>
    </row>
    <row r="558" spans="1:10" s="37" customFormat="1" ht="51" x14ac:dyDescent="0.2">
      <c r="A558" s="27"/>
      <c r="B558" s="70"/>
      <c r="C558" s="16" t="s">
        <v>104</v>
      </c>
      <c r="D558" s="16" t="s">
        <v>89</v>
      </c>
      <c r="E558" s="57" t="s">
        <v>739</v>
      </c>
      <c r="F558" s="21"/>
      <c r="G558" s="97" t="s">
        <v>714</v>
      </c>
      <c r="H558" s="41">
        <f>H559</f>
        <v>377.5</v>
      </c>
      <c r="I558" s="41">
        <f t="shared" ref="I558:J558" si="218">I559</f>
        <v>0</v>
      </c>
      <c r="J558" s="41">
        <f t="shared" si="218"/>
        <v>0</v>
      </c>
    </row>
    <row r="559" spans="1:10" s="37" customFormat="1" ht="14.25" x14ac:dyDescent="0.2">
      <c r="A559" s="27"/>
      <c r="B559" s="70"/>
      <c r="C559" s="16" t="s">
        <v>104</v>
      </c>
      <c r="D559" s="16" t="s">
        <v>89</v>
      </c>
      <c r="E559" s="57" t="s">
        <v>739</v>
      </c>
      <c r="F559" s="21" t="s">
        <v>225</v>
      </c>
      <c r="G559" s="98" t="s">
        <v>224</v>
      </c>
      <c r="H559" s="41">
        <v>377.5</v>
      </c>
      <c r="I559" s="41">
        <v>0</v>
      </c>
      <c r="J559" s="41">
        <v>0</v>
      </c>
    </row>
    <row r="560" spans="1:10" s="37" customFormat="1" ht="38.25" x14ac:dyDescent="0.2">
      <c r="A560" s="27"/>
      <c r="B560" s="70"/>
      <c r="C560" s="16" t="s">
        <v>104</v>
      </c>
      <c r="D560" s="16" t="s">
        <v>89</v>
      </c>
      <c r="E560" s="57" t="s">
        <v>740</v>
      </c>
      <c r="F560" s="21"/>
      <c r="G560" s="97" t="s">
        <v>743</v>
      </c>
      <c r="H560" s="41">
        <f>H561</f>
        <v>303.60000000000002</v>
      </c>
      <c r="I560" s="41">
        <f t="shared" ref="I560:J560" si="219">I561</f>
        <v>0</v>
      </c>
      <c r="J560" s="41">
        <f t="shared" si="219"/>
        <v>0</v>
      </c>
    </row>
    <row r="561" spans="1:10" s="37" customFormat="1" ht="14.25" x14ac:dyDescent="0.2">
      <c r="A561" s="27"/>
      <c r="B561" s="70"/>
      <c r="C561" s="16" t="s">
        <v>104</v>
      </c>
      <c r="D561" s="16" t="s">
        <v>89</v>
      </c>
      <c r="E561" s="57" t="s">
        <v>740</v>
      </c>
      <c r="F561" s="21" t="s">
        <v>225</v>
      </c>
      <c r="G561" s="98" t="s">
        <v>224</v>
      </c>
      <c r="H561" s="41">
        <v>303.60000000000002</v>
      </c>
      <c r="I561" s="41">
        <v>0</v>
      </c>
      <c r="J561" s="41">
        <v>0</v>
      </c>
    </row>
    <row r="562" spans="1:10" s="37" customFormat="1" ht="51" x14ac:dyDescent="0.2">
      <c r="A562" s="27"/>
      <c r="B562" s="70"/>
      <c r="C562" s="56" t="s">
        <v>104</v>
      </c>
      <c r="D562" s="90" t="s">
        <v>89</v>
      </c>
      <c r="E562" s="57" t="s">
        <v>692</v>
      </c>
      <c r="F562" s="21"/>
      <c r="G562" s="98" t="s">
        <v>652</v>
      </c>
      <c r="H562" s="41">
        <f>H563</f>
        <v>2568.1</v>
      </c>
      <c r="I562" s="41">
        <f t="shared" ref="I562:J562" si="220">I563</f>
        <v>2568.1</v>
      </c>
      <c r="J562" s="41">
        <f t="shared" si="220"/>
        <v>3104.3999999999996</v>
      </c>
    </row>
    <row r="563" spans="1:10" s="37" customFormat="1" ht="63.75" x14ac:dyDescent="0.2">
      <c r="A563" s="27"/>
      <c r="B563" s="70"/>
      <c r="C563" s="56" t="s">
        <v>104</v>
      </c>
      <c r="D563" s="90" t="s">
        <v>89</v>
      </c>
      <c r="E563" s="57" t="s">
        <v>650</v>
      </c>
      <c r="F563" s="21"/>
      <c r="G563" s="98" t="s">
        <v>651</v>
      </c>
      <c r="H563" s="1">
        <f>H564</f>
        <v>2568.1</v>
      </c>
      <c r="I563" s="1">
        <f t="shared" ref="I563:J563" si="221">I564</f>
        <v>2568.1</v>
      </c>
      <c r="J563" s="1">
        <f t="shared" si="221"/>
        <v>3104.3999999999996</v>
      </c>
    </row>
    <row r="564" spans="1:10" s="37" customFormat="1" ht="14.25" x14ac:dyDescent="0.2">
      <c r="A564" s="27"/>
      <c r="B564" s="70"/>
      <c r="C564" s="16" t="s">
        <v>104</v>
      </c>
      <c r="D564" s="16" t="s">
        <v>89</v>
      </c>
      <c r="E564" s="57" t="s">
        <v>650</v>
      </c>
      <c r="F564" s="21" t="s">
        <v>225</v>
      </c>
      <c r="G564" s="98" t="s">
        <v>224</v>
      </c>
      <c r="H564" s="1">
        <f>2567.6+0.5</f>
        <v>2568.1</v>
      </c>
      <c r="I564" s="1">
        <f>2567.6+0.5</f>
        <v>2568.1</v>
      </c>
      <c r="J564" s="1">
        <f>2567.6+536.8</f>
        <v>3104.3999999999996</v>
      </c>
    </row>
    <row r="565" spans="1:10" s="37" customFormat="1" ht="38.25" x14ac:dyDescent="0.2">
      <c r="A565" s="27"/>
      <c r="B565" s="70"/>
      <c r="C565" s="56" t="s">
        <v>104</v>
      </c>
      <c r="D565" s="90" t="s">
        <v>89</v>
      </c>
      <c r="E565" s="57" t="s">
        <v>693</v>
      </c>
      <c r="F565" s="21"/>
      <c r="G565" s="98" t="s">
        <v>694</v>
      </c>
      <c r="H565" s="39">
        <f>H566</f>
        <v>2540.8000000000002</v>
      </c>
      <c r="I565" s="1">
        <f t="shared" ref="I565:J566" si="222">I566</f>
        <v>0</v>
      </c>
      <c r="J565" s="1">
        <f t="shared" si="222"/>
        <v>0</v>
      </c>
    </row>
    <row r="566" spans="1:10" s="37" customFormat="1" ht="88.5" customHeight="1" x14ac:dyDescent="0.2">
      <c r="A566" s="27"/>
      <c r="B566" s="70"/>
      <c r="C566" s="16" t="s">
        <v>104</v>
      </c>
      <c r="D566" s="16" t="s">
        <v>89</v>
      </c>
      <c r="E566" s="57" t="s">
        <v>695</v>
      </c>
      <c r="F566" s="21"/>
      <c r="G566" s="98" t="s">
        <v>705</v>
      </c>
      <c r="H566" s="39">
        <f>H567</f>
        <v>2540.8000000000002</v>
      </c>
      <c r="I566" s="1">
        <f t="shared" si="222"/>
        <v>0</v>
      </c>
      <c r="J566" s="1">
        <f t="shared" si="222"/>
        <v>0</v>
      </c>
    </row>
    <row r="567" spans="1:10" s="37" customFormat="1" ht="14.25" x14ac:dyDescent="0.2">
      <c r="A567" s="27"/>
      <c r="B567" s="70"/>
      <c r="C567" s="56" t="s">
        <v>104</v>
      </c>
      <c r="D567" s="90" t="s">
        <v>89</v>
      </c>
      <c r="E567" s="57" t="s">
        <v>695</v>
      </c>
      <c r="F567" s="21" t="s">
        <v>225</v>
      </c>
      <c r="G567" s="98" t="s">
        <v>224</v>
      </c>
      <c r="H567" s="1">
        <f>25.8+2515</f>
        <v>2540.8000000000002</v>
      </c>
      <c r="I567" s="1">
        <v>0</v>
      </c>
      <c r="J567" s="1">
        <v>0</v>
      </c>
    </row>
    <row r="568" spans="1:10" s="37" customFormat="1" ht="38.25" x14ac:dyDescent="0.2">
      <c r="A568" s="27"/>
      <c r="B568" s="70"/>
      <c r="C568" s="16" t="s">
        <v>104</v>
      </c>
      <c r="D568" s="16" t="s">
        <v>89</v>
      </c>
      <c r="E568" s="82" t="s">
        <v>24</v>
      </c>
      <c r="F568" s="82"/>
      <c r="G568" s="99" t="s">
        <v>38</v>
      </c>
      <c r="H568" s="41">
        <f>H569</f>
        <v>350</v>
      </c>
      <c r="I568" s="41">
        <f t="shared" ref="I568:J568" si="223">I569</f>
        <v>0</v>
      </c>
      <c r="J568" s="41">
        <f t="shared" si="223"/>
        <v>0</v>
      </c>
    </row>
    <row r="569" spans="1:10" s="37" customFormat="1" ht="51" x14ac:dyDescent="0.2">
      <c r="A569" s="27"/>
      <c r="B569" s="70"/>
      <c r="C569" s="16" t="s">
        <v>104</v>
      </c>
      <c r="D569" s="16" t="s">
        <v>89</v>
      </c>
      <c r="E569" s="82" t="s">
        <v>568</v>
      </c>
      <c r="F569" s="16"/>
      <c r="G569" s="54" t="s">
        <v>566</v>
      </c>
      <c r="H569" s="41">
        <f>SUM(H570:H570)</f>
        <v>350</v>
      </c>
      <c r="I569" s="41">
        <f>SUM(I570:I570)</f>
        <v>0</v>
      </c>
      <c r="J569" s="41">
        <f>SUM(J570:J570)</f>
        <v>0</v>
      </c>
    </row>
    <row r="570" spans="1:10" s="37" customFormat="1" ht="14.25" x14ac:dyDescent="0.2">
      <c r="A570" s="27"/>
      <c r="B570" s="70"/>
      <c r="C570" s="16" t="s">
        <v>104</v>
      </c>
      <c r="D570" s="16" t="s">
        <v>89</v>
      </c>
      <c r="E570" s="82" t="s">
        <v>568</v>
      </c>
      <c r="F570" s="21" t="s">
        <v>225</v>
      </c>
      <c r="G570" s="98" t="s">
        <v>224</v>
      </c>
      <c r="H570" s="39">
        <v>350</v>
      </c>
      <c r="I570" s="39">
        <v>0</v>
      </c>
      <c r="J570" s="39">
        <v>0</v>
      </c>
    </row>
    <row r="571" spans="1:10" s="37" customFormat="1" ht="14.25" x14ac:dyDescent="0.2">
      <c r="A571" s="27"/>
      <c r="B571" s="70"/>
      <c r="C571" s="35" t="s">
        <v>104</v>
      </c>
      <c r="D571" s="35" t="s">
        <v>93</v>
      </c>
      <c r="E571" s="35"/>
      <c r="F571" s="35"/>
      <c r="G571" s="46" t="s">
        <v>156</v>
      </c>
      <c r="H571" s="42">
        <f>H572+H598</f>
        <v>56462.1</v>
      </c>
      <c r="I571" s="42">
        <f>I572+I598</f>
        <v>57590.6</v>
      </c>
      <c r="J571" s="42">
        <f>J572+J598</f>
        <v>59864.4</v>
      </c>
    </row>
    <row r="572" spans="1:10" s="37" customFormat="1" ht="76.5" x14ac:dyDescent="0.2">
      <c r="A572" s="27"/>
      <c r="B572" s="70"/>
      <c r="C572" s="5" t="s">
        <v>104</v>
      </c>
      <c r="D572" s="5" t="s">
        <v>93</v>
      </c>
      <c r="E572" s="73" t="s">
        <v>73</v>
      </c>
      <c r="F572" s="21"/>
      <c r="G572" s="64" t="s">
        <v>571</v>
      </c>
      <c r="H572" s="62">
        <f>H573+H594</f>
        <v>56262.1</v>
      </c>
      <c r="I572" s="62">
        <f>I573+I594</f>
        <v>57590.6</v>
      </c>
      <c r="J572" s="62">
        <f>J573+J594</f>
        <v>59864.4</v>
      </c>
    </row>
    <row r="573" spans="1:10" s="37" customFormat="1" ht="38.25" x14ac:dyDescent="0.2">
      <c r="A573" s="27"/>
      <c r="B573" s="70"/>
      <c r="C573" s="16" t="s">
        <v>104</v>
      </c>
      <c r="D573" s="82" t="s">
        <v>93</v>
      </c>
      <c r="E573" s="52" t="s">
        <v>410</v>
      </c>
      <c r="F573" s="35"/>
      <c r="G573" s="46" t="s">
        <v>411</v>
      </c>
      <c r="H573" s="94">
        <f>H574+H587</f>
        <v>56212.1</v>
      </c>
      <c r="I573" s="94">
        <f>I574+I587</f>
        <v>57540.6</v>
      </c>
      <c r="J573" s="94">
        <f>J574+J587</f>
        <v>59814.400000000001</v>
      </c>
    </row>
    <row r="574" spans="1:10" s="37" customFormat="1" ht="51" x14ac:dyDescent="0.2">
      <c r="A574" s="27"/>
      <c r="B574" s="70"/>
      <c r="C574" s="16" t="s">
        <v>104</v>
      </c>
      <c r="D574" s="82" t="s">
        <v>93</v>
      </c>
      <c r="E574" s="21" t="s">
        <v>415</v>
      </c>
      <c r="F574" s="21"/>
      <c r="G574" s="97" t="s">
        <v>412</v>
      </c>
      <c r="H574" s="41">
        <f>H575+H577+H579+H581+H583+H585</f>
        <v>55017.1</v>
      </c>
      <c r="I574" s="41">
        <f>I575+I577+I579+I581+I583+I585</f>
        <v>56345.599999999999</v>
      </c>
      <c r="J574" s="41">
        <f>J575+J577+J579+J581+J583+J585</f>
        <v>58619.4</v>
      </c>
    </row>
    <row r="575" spans="1:10" s="37" customFormat="1" ht="76.5" x14ac:dyDescent="0.2">
      <c r="A575" s="27"/>
      <c r="B575" s="70"/>
      <c r="C575" s="16" t="s">
        <v>104</v>
      </c>
      <c r="D575" s="82" t="s">
        <v>93</v>
      </c>
      <c r="E575" s="57" t="s">
        <v>414</v>
      </c>
      <c r="F575" s="16"/>
      <c r="G575" s="98" t="s">
        <v>413</v>
      </c>
      <c r="H575" s="94">
        <f>H576</f>
        <v>28869.199999999997</v>
      </c>
      <c r="I575" s="94">
        <f t="shared" ref="I575:J575" si="224">I576</f>
        <v>36709.5</v>
      </c>
      <c r="J575" s="94">
        <f t="shared" si="224"/>
        <v>36709.5</v>
      </c>
    </row>
    <row r="576" spans="1:10" s="37" customFormat="1" ht="14.25" x14ac:dyDescent="0.2">
      <c r="A576" s="27"/>
      <c r="B576" s="70"/>
      <c r="C576" s="16" t="s">
        <v>104</v>
      </c>
      <c r="D576" s="82" t="s">
        <v>93</v>
      </c>
      <c r="E576" s="57" t="s">
        <v>414</v>
      </c>
      <c r="F576" s="21" t="s">
        <v>225</v>
      </c>
      <c r="G576" s="98" t="s">
        <v>224</v>
      </c>
      <c r="H576" s="94">
        <f>36709.5-11516.9+950.4-54.7+717.3+2066-2.4</f>
        <v>28869.199999999997</v>
      </c>
      <c r="I576" s="94">
        <v>36709.5</v>
      </c>
      <c r="J576" s="94">
        <v>36709.5</v>
      </c>
    </row>
    <row r="577" spans="1:10" s="37" customFormat="1" ht="41.25" customHeight="1" x14ac:dyDescent="0.2">
      <c r="A577" s="27"/>
      <c r="B577" s="70"/>
      <c r="C577" s="16" t="s">
        <v>104</v>
      </c>
      <c r="D577" s="82" t="s">
        <v>93</v>
      </c>
      <c r="E577" s="57" t="s">
        <v>697</v>
      </c>
      <c r="F577" s="21"/>
      <c r="G577" s="98" t="s">
        <v>698</v>
      </c>
      <c r="H577" s="94">
        <f>SUM(H578:H578)</f>
        <v>8733.6</v>
      </c>
      <c r="I577" s="94">
        <f>SUM(I578:I578)</f>
        <v>0</v>
      </c>
      <c r="J577" s="94">
        <f>SUM(J578:J578)</f>
        <v>0</v>
      </c>
    </row>
    <row r="578" spans="1:10" s="37" customFormat="1" ht="14.25" x14ac:dyDescent="0.2">
      <c r="A578" s="27"/>
      <c r="B578" s="70"/>
      <c r="C578" s="16" t="s">
        <v>104</v>
      </c>
      <c r="D578" s="82" t="s">
        <v>93</v>
      </c>
      <c r="E578" s="57" t="s">
        <v>697</v>
      </c>
      <c r="F578" s="21" t="s">
        <v>225</v>
      </c>
      <c r="G578" s="98" t="s">
        <v>224</v>
      </c>
      <c r="H578" s="94">
        <f>10799.6+179.3-2066-179.3</f>
        <v>8733.6</v>
      </c>
      <c r="I578" s="94">
        <v>0</v>
      </c>
      <c r="J578" s="94">
        <v>0</v>
      </c>
    </row>
    <row r="579" spans="1:10" s="37" customFormat="1" ht="76.5" x14ac:dyDescent="0.2">
      <c r="A579" s="27"/>
      <c r="B579" s="70"/>
      <c r="C579" s="16" t="s">
        <v>104</v>
      </c>
      <c r="D579" s="82" t="s">
        <v>93</v>
      </c>
      <c r="E579" s="57" t="s">
        <v>416</v>
      </c>
      <c r="F579" s="21"/>
      <c r="G579" s="98" t="s">
        <v>417</v>
      </c>
      <c r="H579" s="94">
        <f>H580</f>
        <v>16991.8</v>
      </c>
      <c r="I579" s="94">
        <f>I580</f>
        <v>19508</v>
      </c>
      <c r="J579" s="94">
        <f>J580</f>
        <v>21781.8</v>
      </c>
    </row>
    <row r="580" spans="1:10" s="37" customFormat="1" ht="14.25" x14ac:dyDescent="0.2">
      <c r="A580" s="27"/>
      <c r="B580" s="70"/>
      <c r="C580" s="16" t="s">
        <v>104</v>
      </c>
      <c r="D580" s="82" t="s">
        <v>93</v>
      </c>
      <c r="E580" s="57" t="s">
        <v>416</v>
      </c>
      <c r="F580" s="21" t="s">
        <v>225</v>
      </c>
      <c r="G580" s="98" t="s">
        <v>224</v>
      </c>
      <c r="H580" s="132">
        <f>12678.4+635.3+3678.1</f>
        <v>16991.8</v>
      </c>
      <c r="I580" s="212">
        <f>12678.4+635.3+6194.3</f>
        <v>19508</v>
      </c>
      <c r="J580" s="132">
        <f>12678.4+635.3+8468.1</f>
        <v>21781.8</v>
      </c>
    </row>
    <row r="581" spans="1:10" s="37" customFormat="1" ht="76.5" x14ac:dyDescent="0.2">
      <c r="A581" s="27"/>
      <c r="B581" s="70"/>
      <c r="C581" s="16" t="s">
        <v>104</v>
      </c>
      <c r="D581" s="82" t="s">
        <v>93</v>
      </c>
      <c r="E581" s="57" t="s">
        <v>418</v>
      </c>
      <c r="F581" s="57"/>
      <c r="G581" s="98" t="s">
        <v>419</v>
      </c>
      <c r="H581" s="39">
        <f>H582</f>
        <v>182.8</v>
      </c>
      <c r="I581" s="39">
        <f>I582</f>
        <v>128.1</v>
      </c>
      <c r="J581" s="39">
        <f>J582</f>
        <v>128.1</v>
      </c>
    </row>
    <row r="582" spans="1:10" s="37" customFormat="1" ht="14.25" x14ac:dyDescent="0.2">
      <c r="A582" s="27"/>
      <c r="B582" s="70"/>
      <c r="C582" s="16" t="s">
        <v>104</v>
      </c>
      <c r="D582" s="82" t="s">
        <v>93</v>
      </c>
      <c r="E582" s="21" t="s">
        <v>418</v>
      </c>
      <c r="F582" s="21" t="s">
        <v>225</v>
      </c>
      <c r="G582" s="98" t="s">
        <v>224</v>
      </c>
      <c r="H582" s="41">
        <f>128.1+54.7</f>
        <v>182.8</v>
      </c>
      <c r="I582" s="41">
        <v>128.1</v>
      </c>
      <c r="J582" s="41">
        <v>128.1</v>
      </c>
    </row>
    <row r="583" spans="1:10" s="37" customFormat="1" ht="52.5" customHeight="1" x14ac:dyDescent="0.2">
      <c r="A583" s="27"/>
      <c r="B583" s="70"/>
      <c r="C583" s="16" t="s">
        <v>104</v>
      </c>
      <c r="D583" s="82" t="s">
        <v>93</v>
      </c>
      <c r="E583" s="21" t="s">
        <v>816</v>
      </c>
      <c r="F583" s="21"/>
      <c r="G583" s="108" t="s">
        <v>817</v>
      </c>
      <c r="H583" s="41">
        <f>H584</f>
        <v>237.3</v>
      </c>
      <c r="I583" s="41">
        <f t="shared" ref="I583:J583" si="225">I584</f>
        <v>0</v>
      </c>
      <c r="J583" s="41">
        <f t="shared" si="225"/>
        <v>0</v>
      </c>
    </row>
    <row r="584" spans="1:10" s="37" customFormat="1" ht="14.25" x14ac:dyDescent="0.2">
      <c r="A584" s="27"/>
      <c r="B584" s="70"/>
      <c r="C584" s="16" t="s">
        <v>104</v>
      </c>
      <c r="D584" s="82" t="s">
        <v>93</v>
      </c>
      <c r="E584" s="21" t="s">
        <v>816</v>
      </c>
      <c r="F584" s="21" t="s">
        <v>225</v>
      </c>
      <c r="G584" s="98" t="s">
        <v>224</v>
      </c>
      <c r="H584" s="41">
        <v>237.3</v>
      </c>
      <c r="I584" s="41">
        <v>0</v>
      </c>
      <c r="J584" s="41">
        <v>0</v>
      </c>
    </row>
    <row r="585" spans="1:10" s="37" customFormat="1" ht="63" customHeight="1" x14ac:dyDescent="0.2">
      <c r="A585" s="27"/>
      <c r="B585" s="70"/>
      <c r="C585" s="16" t="s">
        <v>104</v>
      </c>
      <c r="D585" s="82" t="s">
        <v>93</v>
      </c>
      <c r="E585" s="21" t="s">
        <v>818</v>
      </c>
      <c r="F585" s="21"/>
      <c r="G585" s="108" t="s">
        <v>819</v>
      </c>
      <c r="H585" s="41">
        <f>H586</f>
        <v>2.4</v>
      </c>
      <c r="I585" s="41">
        <f t="shared" ref="I585:J585" si="226">I586</f>
        <v>0</v>
      </c>
      <c r="J585" s="41">
        <f t="shared" si="226"/>
        <v>0</v>
      </c>
    </row>
    <row r="586" spans="1:10" s="37" customFormat="1" ht="14.25" x14ac:dyDescent="0.2">
      <c r="A586" s="27"/>
      <c r="B586" s="70"/>
      <c r="C586" s="16" t="s">
        <v>104</v>
      </c>
      <c r="D586" s="82" t="s">
        <v>93</v>
      </c>
      <c r="E586" s="21" t="s">
        <v>818</v>
      </c>
      <c r="F586" s="21" t="s">
        <v>225</v>
      </c>
      <c r="G586" s="98" t="s">
        <v>224</v>
      </c>
      <c r="H586" s="41">
        <v>2.4</v>
      </c>
      <c r="I586" s="41">
        <v>0</v>
      </c>
      <c r="J586" s="41">
        <v>0</v>
      </c>
    </row>
    <row r="587" spans="1:10" s="37" customFormat="1" ht="38.25" x14ac:dyDescent="0.2">
      <c r="A587" s="27"/>
      <c r="B587" s="70"/>
      <c r="C587" s="16" t="s">
        <v>104</v>
      </c>
      <c r="D587" s="82" t="s">
        <v>93</v>
      </c>
      <c r="E587" s="21" t="s">
        <v>421</v>
      </c>
      <c r="F587" s="82"/>
      <c r="G587" s="97" t="s">
        <v>420</v>
      </c>
      <c r="H587" s="41">
        <f>H588+H590+H592</f>
        <v>1195</v>
      </c>
      <c r="I587" s="41">
        <f t="shared" ref="I587:J587" si="227">I588+I590+I592</f>
        <v>1195</v>
      </c>
      <c r="J587" s="41">
        <f t="shared" si="227"/>
        <v>1195</v>
      </c>
    </row>
    <row r="588" spans="1:10" s="37" customFormat="1" ht="51" x14ac:dyDescent="0.2">
      <c r="A588" s="27"/>
      <c r="B588" s="70"/>
      <c r="C588" s="16" t="s">
        <v>104</v>
      </c>
      <c r="D588" s="82" t="s">
        <v>93</v>
      </c>
      <c r="E588" s="57" t="s">
        <v>558</v>
      </c>
      <c r="F588" s="21"/>
      <c r="G588" s="108" t="s">
        <v>422</v>
      </c>
      <c r="H588" s="94">
        <f>H589</f>
        <v>795</v>
      </c>
      <c r="I588" s="94">
        <f t="shared" ref="I588:J588" si="228">I589</f>
        <v>795</v>
      </c>
      <c r="J588" s="94">
        <f t="shared" si="228"/>
        <v>795</v>
      </c>
    </row>
    <row r="589" spans="1:10" s="37" customFormat="1" ht="14.25" x14ac:dyDescent="0.2">
      <c r="A589" s="27"/>
      <c r="B589" s="70"/>
      <c r="C589" s="16" t="s">
        <v>104</v>
      </c>
      <c r="D589" s="82" t="s">
        <v>93</v>
      </c>
      <c r="E589" s="57" t="s">
        <v>558</v>
      </c>
      <c r="F589" s="21" t="s">
        <v>225</v>
      </c>
      <c r="G589" s="98" t="s">
        <v>224</v>
      </c>
      <c r="H589" s="94">
        <v>795</v>
      </c>
      <c r="I589" s="94">
        <v>795</v>
      </c>
      <c r="J589" s="94">
        <v>795</v>
      </c>
    </row>
    <row r="590" spans="1:10" s="37" customFormat="1" ht="38.25" x14ac:dyDescent="0.2">
      <c r="A590" s="27"/>
      <c r="B590" s="70"/>
      <c r="C590" s="16" t="s">
        <v>104</v>
      </c>
      <c r="D590" s="82" t="s">
        <v>93</v>
      </c>
      <c r="E590" s="57" t="s">
        <v>423</v>
      </c>
      <c r="F590" s="21"/>
      <c r="G590" s="98" t="s">
        <v>183</v>
      </c>
      <c r="H590" s="41">
        <f>H591</f>
        <v>250</v>
      </c>
      <c r="I590" s="41">
        <f t="shared" ref="I590:J590" si="229">I591</f>
        <v>250</v>
      </c>
      <c r="J590" s="41">
        <f t="shared" si="229"/>
        <v>250</v>
      </c>
    </row>
    <row r="591" spans="1:10" s="37" customFormat="1" ht="14.25" x14ac:dyDescent="0.2">
      <c r="A591" s="27"/>
      <c r="B591" s="70"/>
      <c r="C591" s="16" t="s">
        <v>104</v>
      </c>
      <c r="D591" s="82" t="s">
        <v>93</v>
      </c>
      <c r="E591" s="57" t="s">
        <v>423</v>
      </c>
      <c r="F591" s="21" t="s">
        <v>225</v>
      </c>
      <c r="G591" s="98" t="s">
        <v>224</v>
      </c>
      <c r="H591" s="41">
        <v>250</v>
      </c>
      <c r="I591" s="41">
        <v>250</v>
      </c>
      <c r="J591" s="41">
        <v>250</v>
      </c>
    </row>
    <row r="592" spans="1:10" s="37" customFormat="1" ht="38.25" x14ac:dyDescent="0.2">
      <c r="A592" s="27"/>
      <c r="B592" s="70"/>
      <c r="C592" s="16" t="s">
        <v>104</v>
      </c>
      <c r="D592" s="82" t="s">
        <v>93</v>
      </c>
      <c r="E592" s="57" t="s">
        <v>424</v>
      </c>
      <c r="F592" s="21"/>
      <c r="G592" s="98" t="s">
        <v>425</v>
      </c>
      <c r="H592" s="41">
        <f>H593</f>
        <v>150</v>
      </c>
      <c r="I592" s="41">
        <f t="shared" ref="I592:J592" si="230">I593</f>
        <v>150</v>
      </c>
      <c r="J592" s="41">
        <f t="shared" si="230"/>
        <v>150</v>
      </c>
    </row>
    <row r="593" spans="1:10" s="37" customFormat="1" ht="14.25" x14ac:dyDescent="0.2">
      <c r="A593" s="27"/>
      <c r="B593" s="70"/>
      <c r="C593" s="16" t="s">
        <v>104</v>
      </c>
      <c r="D593" s="82" t="s">
        <v>93</v>
      </c>
      <c r="E593" s="57" t="s">
        <v>424</v>
      </c>
      <c r="F593" s="21" t="s">
        <v>225</v>
      </c>
      <c r="G593" s="98" t="s">
        <v>224</v>
      </c>
      <c r="H593" s="41">
        <v>150</v>
      </c>
      <c r="I593" s="41">
        <v>150</v>
      </c>
      <c r="J593" s="41">
        <v>150</v>
      </c>
    </row>
    <row r="594" spans="1:10" s="37" customFormat="1" ht="28.5" customHeight="1" x14ac:dyDescent="0.2">
      <c r="A594" s="27"/>
      <c r="B594" s="70"/>
      <c r="C594" s="47" t="s">
        <v>104</v>
      </c>
      <c r="D594" s="47" t="s">
        <v>93</v>
      </c>
      <c r="E594" s="52" t="s">
        <v>427</v>
      </c>
      <c r="F594" s="82"/>
      <c r="G594" s="46" t="s">
        <v>426</v>
      </c>
      <c r="H594" s="93">
        <f>H595</f>
        <v>50</v>
      </c>
      <c r="I594" s="93">
        <f t="shared" ref="I594:J594" si="231">I595</f>
        <v>50</v>
      </c>
      <c r="J594" s="93">
        <f t="shared" si="231"/>
        <v>50</v>
      </c>
    </row>
    <row r="595" spans="1:10" s="37" customFormat="1" ht="25.5" x14ac:dyDescent="0.2">
      <c r="A595" s="27"/>
      <c r="B595" s="70"/>
      <c r="C595" s="16" t="s">
        <v>104</v>
      </c>
      <c r="D595" s="82" t="s">
        <v>93</v>
      </c>
      <c r="E595" s="21" t="s">
        <v>428</v>
      </c>
      <c r="F595" s="21"/>
      <c r="G595" s="97" t="s">
        <v>466</v>
      </c>
      <c r="H595" s="41">
        <f>H596</f>
        <v>50</v>
      </c>
      <c r="I595" s="41">
        <f t="shared" ref="I595:J595" si="232">I596</f>
        <v>50</v>
      </c>
      <c r="J595" s="41">
        <f t="shared" si="232"/>
        <v>50</v>
      </c>
    </row>
    <row r="596" spans="1:10" s="37" customFormat="1" ht="76.5" x14ac:dyDescent="0.2">
      <c r="A596" s="27"/>
      <c r="B596" s="70"/>
      <c r="C596" s="16" t="s">
        <v>104</v>
      </c>
      <c r="D596" s="82" t="s">
        <v>93</v>
      </c>
      <c r="E596" s="57" t="s">
        <v>552</v>
      </c>
      <c r="F596" s="16"/>
      <c r="G596" s="98" t="s">
        <v>430</v>
      </c>
      <c r="H596" s="41">
        <f>H597</f>
        <v>50</v>
      </c>
      <c r="I596" s="41">
        <f>I597</f>
        <v>50</v>
      </c>
      <c r="J596" s="41">
        <f>J597</f>
        <v>50</v>
      </c>
    </row>
    <row r="597" spans="1:10" s="37" customFormat="1" ht="14.25" x14ac:dyDescent="0.2">
      <c r="A597" s="27"/>
      <c r="B597" s="70"/>
      <c r="C597" s="16" t="s">
        <v>104</v>
      </c>
      <c r="D597" s="82" t="s">
        <v>93</v>
      </c>
      <c r="E597" s="57" t="s">
        <v>552</v>
      </c>
      <c r="F597" s="21" t="s">
        <v>225</v>
      </c>
      <c r="G597" s="98" t="s">
        <v>224</v>
      </c>
      <c r="H597" s="41">
        <v>50</v>
      </c>
      <c r="I597" s="41">
        <v>50</v>
      </c>
      <c r="J597" s="41">
        <v>50</v>
      </c>
    </row>
    <row r="598" spans="1:10" s="37" customFormat="1" ht="38.25" x14ac:dyDescent="0.2">
      <c r="A598" s="27"/>
      <c r="B598" s="70"/>
      <c r="C598" s="82" t="s">
        <v>104</v>
      </c>
      <c r="D598" s="82" t="s">
        <v>93</v>
      </c>
      <c r="E598" s="82" t="s">
        <v>24</v>
      </c>
      <c r="F598" s="82"/>
      <c r="G598" s="99" t="s">
        <v>38</v>
      </c>
      <c r="H598" s="41">
        <f>H599</f>
        <v>200</v>
      </c>
      <c r="I598" s="41">
        <f t="shared" ref="I598:J598" si="233">I599</f>
        <v>0</v>
      </c>
      <c r="J598" s="41">
        <f t="shared" si="233"/>
        <v>0</v>
      </c>
    </row>
    <row r="599" spans="1:10" s="37" customFormat="1" ht="51" x14ac:dyDescent="0.2">
      <c r="A599" s="27"/>
      <c r="B599" s="70"/>
      <c r="C599" s="16" t="s">
        <v>104</v>
      </c>
      <c r="D599" s="82" t="s">
        <v>93</v>
      </c>
      <c r="E599" s="82" t="s">
        <v>568</v>
      </c>
      <c r="F599" s="16"/>
      <c r="G599" s="54" t="s">
        <v>566</v>
      </c>
      <c r="H599" s="41">
        <f>SUM(H600:H600)</f>
        <v>200</v>
      </c>
      <c r="I599" s="41">
        <f>SUM(I600:I600)</f>
        <v>0</v>
      </c>
      <c r="J599" s="41">
        <f>SUM(J600:J600)</f>
        <v>0</v>
      </c>
    </row>
    <row r="600" spans="1:10" s="37" customFormat="1" ht="14.25" x14ac:dyDescent="0.2">
      <c r="A600" s="27"/>
      <c r="B600" s="70"/>
      <c r="C600" s="16" t="s">
        <v>104</v>
      </c>
      <c r="D600" s="82" t="s">
        <v>93</v>
      </c>
      <c r="E600" s="82" t="s">
        <v>568</v>
      </c>
      <c r="F600" s="21" t="s">
        <v>225</v>
      </c>
      <c r="G600" s="98" t="s">
        <v>224</v>
      </c>
      <c r="H600" s="39">
        <v>200</v>
      </c>
      <c r="I600" s="39">
        <v>0</v>
      </c>
      <c r="J600" s="39">
        <v>0</v>
      </c>
    </row>
    <row r="601" spans="1:10" s="36" customFormat="1" ht="38.25" x14ac:dyDescent="0.2">
      <c r="A601" s="27"/>
      <c r="B601" s="70"/>
      <c r="C601" s="35" t="s">
        <v>104</v>
      </c>
      <c r="D601" s="35" t="s">
        <v>95</v>
      </c>
      <c r="E601" s="35"/>
      <c r="F601" s="35"/>
      <c r="G601" s="46" t="s">
        <v>2</v>
      </c>
      <c r="H601" s="42">
        <f t="shared" ref="H601:J602" si="234">H602</f>
        <v>193.2</v>
      </c>
      <c r="I601" s="42">
        <f t="shared" si="234"/>
        <v>115</v>
      </c>
      <c r="J601" s="42">
        <f t="shared" si="234"/>
        <v>130</v>
      </c>
    </row>
    <row r="602" spans="1:10" s="36" customFormat="1" ht="76.5" x14ac:dyDescent="0.2">
      <c r="A602" s="27"/>
      <c r="B602" s="70"/>
      <c r="C602" s="16" t="s">
        <v>104</v>
      </c>
      <c r="D602" s="16" t="s">
        <v>95</v>
      </c>
      <c r="E602" s="21" t="s">
        <v>73</v>
      </c>
      <c r="F602" s="35"/>
      <c r="G602" s="64" t="s">
        <v>571</v>
      </c>
      <c r="H602" s="62">
        <f t="shared" si="234"/>
        <v>193.2</v>
      </c>
      <c r="I602" s="62">
        <f t="shared" si="234"/>
        <v>115</v>
      </c>
      <c r="J602" s="62">
        <f t="shared" si="234"/>
        <v>130</v>
      </c>
    </row>
    <row r="603" spans="1:10" s="36" customFormat="1" ht="28.5" customHeight="1" x14ac:dyDescent="0.2">
      <c r="A603" s="27"/>
      <c r="B603" s="70"/>
      <c r="C603" s="16" t="s">
        <v>104</v>
      </c>
      <c r="D603" s="16" t="s">
        <v>95</v>
      </c>
      <c r="E603" s="52" t="s">
        <v>427</v>
      </c>
      <c r="F603" s="35"/>
      <c r="G603" s="46" t="s">
        <v>426</v>
      </c>
      <c r="H603" s="58">
        <f>H605</f>
        <v>193.2</v>
      </c>
      <c r="I603" s="58">
        <f>I605</f>
        <v>115</v>
      </c>
      <c r="J603" s="58">
        <f>J605</f>
        <v>130</v>
      </c>
    </row>
    <row r="604" spans="1:10" s="36" customFormat="1" ht="38.25" x14ac:dyDescent="0.2">
      <c r="A604" s="27"/>
      <c r="B604" s="70"/>
      <c r="C604" s="16" t="s">
        <v>104</v>
      </c>
      <c r="D604" s="16" t="s">
        <v>95</v>
      </c>
      <c r="E604" s="21" t="s">
        <v>431</v>
      </c>
      <c r="F604" s="21"/>
      <c r="G604" s="97" t="s">
        <v>736</v>
      </c>
      <c r="H604" s="39">
        <f>H605</f>
        <v>193.2</v>
      </c>
      <c r="I604" s="39">
        <f t="shared" ref="I604:J604" si="235">I605</f>
        <v>115</v>
      </c>
      <c r="J604" s="39">
        <f t="shared" si="235"/>
        <v>130</v>
      </c>
    </row>
    <row r="605" spans="1:10" s="36" customFormat="1" ht="38.25" x14ac:dyDescent="0.2">
      <c r="A605" s="27"/>
      <c r="B605" s="70"/>
      <c r="C605" s="16" t="s">
        <v>104</v>
      </c>
      <c r="D605" s="16" t="s">
        <v>95</v>
      </c>
      <c r="E605" s="57" t="s">
        <v>553</v>
      </c>
      <c r="F605" s="16"/>
      <c r="G605" s="98" t="s">
        <v>44</v>
      </c>
      <c r="H605" s="41">
        <f>H606</f>
        <v>193.2</v>
      </c>
      <c r="I605" s="41">
        <f>I606</f>
        <v>115</v>
      </c>
      <c r="J605" s="41">
        <f>J606</f>
        <v>130</v>
      </c>
    </row>
    <row r="606" spans="1:10" x14ac:dyDescent="0.2">
      <c r="A606" s="1"/>
      <c r="B606" s="25"/>
      <c r="C606" s="16" t="s">
        <v>104</v>
      </c>
      <c r="D606" s="16" t="s">
        <v>95</v>
      </c>
      <c r="E606" s="57" t="s">
        <v>553</v>
      </c>
      <c r="F606" s="21" t="s">
        <v>225</v>
      </c>
      <c r="G606" s="98" t="s">
        <v>224</v>
      </c>
      <c r="H606" s="94">
        <f>193.2-63.2-25.8+89</f>
        <v>193.2</v>
      </c>
      <c r="I606" s="94">
        <f>193.2-63.2-15</f>
        <v>115</v>
      </c>
      <c r="J606" s="94">
        <f>193.2-63.2</f>
        <v>130</v>
      </c>
    </row>
    <row r="607" spans="1:10" s="37" customFormat="1" ht="14.25" x14ac:dyDescent="0.2">
      <c r="A607" s="27"/>
      <c r="B607" s="70"/>
      <c r="C607" s="35" t="s">
        <v>104</v>
      </c>
      <c r="D607" s="35" t="s">
        <v>99</v>
      </c>
      <c r="E607" s="35"/>
      <c r="F607" s="35"/>
      <c r="G607" s="45" t="s">
        <v>109</v>
      </c>
      <c r="H607" s="42">
        <f t="shared" ref="H607:J607" si="236">H608</f>
        <v>16231.399999999998</v>
      </c>
      <c r="I607" s="42">
        <f t="shared" si="236"/>
        <v>15863.8</v>
      </c>
      <c r="J607" s="42">
        <f t="shared" si="236"/>
        <v>15863.8</v>
      </c>
    </row>
    <row r="608" spans="1:10" s="37" customFormat="1" ht="76.5" x14ac:dyDescent="0.2">
      <c r="A608" s="27"/>
      <c r="B608" s="70"/>
      <c r="C608" s="16" t="s">
        <v>104</v>
      </c>
      <c r="D608" s="16" t="s">
        <v>99</v>
      </c>
      <c r="E608" s="21" t="s">
        <v>73</v>
      </c>
      <c r="F608" s="35"/>
      <c r="G608" s="64" t="s">
        <v>571</v>
      </c>
      <c r="H608" s="62">
        <f>H609+H619+H641</f>
        <v>16231.399999999998</v>
      </c>
      <c r="I608" s="62">
        <f>I609+I619+I641</f>
        <v>15863.8</v>
      </c>
      <c r="J608" s="62">
        <f>J609+J619+J641</f>
        <v>15863.8</v>
      </c>
    </row>
    <row r="609" spans="1:10" s="37" customFormat="1" ht="40.5" customHeight="1" x14ac:dyDescent="0.2">
      <c r="A609" s="27"/>
      <c r="B609" s="70"/>
      <c r="C609" s="16" t="s">
        <v>104</v>
      </c>
      <c r="D609" s="16" t="s">
        <v>99</v>
      </c>
      <c r="E609" s="52" t="s">
        <v>75</v>
      </c>
      <c r="F609" s="21"/>
      <c r="G609" s="46" t="s">
        <v>559</v>
      </c>
      <c r="H609" s="58">
        <f>H610</f>
        <v>5679.5999999999995</v>
      </c>
      <c r="I609" s="58">
        <f t="shared" ref="I609:J609" si="237">I610</f>
        <v>5708.7999999999993</v>
      </c>
      <c r="J609" s="58">
        <f t="shared" si="237"/>
        <v>5708.7999999999993</v>
      </c>
    </row>
    <row r="610" spans="1:10" s="37" customFormat="1" ht="51" x14ac:dyDescent="0.2">
      <c r="A610" s="27"/>
      <c r="B610" s="70"/>
      <c r="C610" s="16" t="s">
        <v>104</v>
      </c>
      <c r="D610" s="16" t="s">
        <v>99</v>
      </c>
      <c r="E610" s="21" t="s">
        <v>405</v>
      </c>
      <c r="F610" s="21"/>
      <c r="G610" s="97" t="s">
        <v>406</v>
      </c>
      <c r="H610" s="94">
        <f>H611+H613+H616</f>
        <v>5679.5999999999995</v>
      </c>
      <c r="I610" s="94">
        <f t="shared" ref="I610:J610" si="238">I611+I613+I616</f>
        <v>5708.7999999999993</v>
      </c>
      <c r="J610" s="94">
        <f t="shared" si="238"/>
        <v>5708.7999999999993</v>
      </c>
    </row>
    <row r="611" spans="1:10" s="37" customFormat="1" ht="14.25" x14ac:dyDescent="0.2">
      <c r="A611" s="27"/>
      <c r="B611" s="70"/>
      <c r="C611" s="16" t="s">
        <v>104</v>
      </c>
      <c r="D611" s="16" t="s">
        <v>99</v>
      </c>
      <c r="E611" s="57" t="s">
        <v>407</v>
      </c>
      <c r="F611" s="21"/>
      <c r="G611" s="98" t="s">
        <v>45</v>
      </c>
      <c r="H611" s="41">
        <f>H612</f>
        <v>3042.5</v>
      </c>
      <c r="I611" s="41">
        <f>I612</f>
        <v>3042.5</v>
      </c>
      <c r="J611" s="41">
        <f>J612</f>
        <v>3042.5</v>
      </c>
    </row>
    <row r="612" spans="1:10" s="37" customFormat="1" ht="14.25" x14ac:dyDescent="0.2">
      <c r="A612" s="27"/>
      <c r="B612" s="70"/>
      <c r="C612" s="16" t="s">
        <v>104</v>
      </c>
      <c r="D612" s="16" t="s">
        <v>99</v>
      </c>
      <c r="E612" s="57" t="s">
        <v>407</v>
      </c>
      <c r="F612" s="21" t="s">
        <v>225</v>
      </c>
      <c r="G612" s="98" t="s">
        <v>224</v>
      </c>
      <c r="H612" s="41">
        <v>3042.5</v>
      </c>
      <c r="I612" s="41">
        <v>3042.5</v>
      </c>
      <c r="J612" s="41">
        <v>3042.5</v>
      </c>
    </row>
    <row r="613" spans="1:10" s="37" customFormat="1" ht="38.25" x14ac:dyDescent="0.2">
      <c r="A613" s="27"/>
      <c r="B613" s="70"/>
      <c r="C613" s="16" t="s">
        <v>104</v>
      </c>
      <c r="D613" s="16" t="s">
        <v>99</v>
      </c>
      <c r="E613" s="57" t="s">
        <v>409</v>
      </c>
      <c r="F613" s="21"/>
      <c r="G613" s="98" t="s">
        <v>408</v>
      </c>
      <c r="H613" s="41">
        <f>SUM(H614:H615)</f>
        <v>2450.4</v>
      </c>
      <c r="I613" s="41">
        <f>SUM(I614:I615)</f>
        <v>2450.4</v>
      </c>
      <c r="J613" s="41">
        <f>SUM(J614:J615)</f>
        <v>2450.4</v>
      </c>
    </row>
    <row r="614" spans="1:10" s="37" customFormat="1" ht="38.25" x14ac:dyDescent="0.2">
      <c r="A614" s="27"/>
      <c r="B614" s="70"/>
      <c r="C614" s="16" t="s">
        <v>104</v>
      </c>
      <c r="D614" s="16" t="s">
        <v>99</v>
      </c>
      <c r="E614" s="57" t="s">
        <v>409</v>
      </c>
      <c r="F614" s="82" t="s">
        <v>211</v>
      </c>
      <c r="G614" s="98" t="s">
        <v>212</v>
      </c>
      <c r="H614" s="39">
        <v>200</v>
      </c>
      <c r="I614" s="39">
        <v>200</v>
      </c>
      <c r="J614" s="39">
        <v>200</v>
      </c>
    </row>
    <row r="615" spans="1:10" s="37" customFormat="1" ht="14.25" x14ac:dyDescent="0.2">
      <c r="A615" s="27"/>
      <c r="B615" s="70"/>
      <c r="C615" s="16" t="s">
        <v>104</v>
      </c>
      <c r="D615" s="16" t="s">
        <v>99</v>
      </c>
      <c r="E615" s="57" t="s">
        <v>409</v>
      </c>
      <c r="F615" s="21" t="s">
        <v>225</v>
      </c>
      <c r="G615" s="98" t="s">
        <v>224</v>
      </c>
      <c r="H615" s="39">
        <v>2250.4</v>
      </c>
      <c r="I615" s="39">
        <v>2250.4</v>
      </c>
      <c r="J615" s="39">
        <v>2250.4</v>
      </c>
    </row>
    <row r="616" spans="1:10" s="37" customFormat="1" ht="38.25" x14ac:dyDescent="0.2">
      <c r="A616" s="27"/>
      <c r="B616" s="70"/>
      <c r="C616" s="16" t="s">
        <v>104</v>
      </c>
      <c r="D616" s="16" t="s">
        <v>99</v>
      </c>
      <c r="E616" s="57" t="s">
        <v>555</v>
      </c>
      <c r="F616" s="21"/>
      <c r="G616" s="98" t="s">
        <v>134</v>
      </c>
      <c r="H616" s="41">
        <f>SUM(H617:H618)</f>
        <v>186.7</v>
      </c>
      <c r="I616" s="41">
        <f>SUM(I617:I618)</f>
        <v>215.9</v>
      </c>
      <c r="J616" s="41">
        <f>SUM(J617:J618)</f>
        <v>215.9</v>
      </c>
    </row>
    <row r="617" spans="1:10" s="37" customFormat="1" ht="25.5" x14ac:dyDescent="0.2">
      <c r="A617" s="27"/>
      <c r="B617" s="70"/>
      <c r="C617" s="16" t="s">
        <v>104</v>
      </c>
      <c r="D617" s="16" t="s">
        <v>99</v>
      </c>
      <c r="E617" s="57" t="s">
        <v>555</v>
      </c>
      <c r="F617" s="82" t="s">
        <v>64</v>
      </c>
      <c r="G617" s="55" t="s">
        <v>130</v>
      </c>
      <c r="H617" s="41">
        <v>88.5</v>
      </c>
      <c r="I617" s="41">
        <v>88.5</v>
      </c>
      <c r="J617" s="41">
        <v>88.5</v>
      </c>
    </row>
    <row r="618" spans="1:10" s="37" customFormat="1" ht="38.25" x14ac:dyDescent="0.2">
      <c r="A618" s="27"/>
      <c r="B618" s="70"/>
      <c r="C618" s="16" t="s">
        <v>104</v>
      </c>
      <c r="D618" s="16" t="s">
        <v>99</v>
      </c>
      <c r="E618" s="57" t="s">
        <v>555</v>
      </c>
      <c r="F618" s="82" t="s">
        <v>211</v>
      </c>
      <c r="G618" s="98" t="s">
        <v>212</v>
      </c>
      <c r="H618" s="41">
        <f>127.4-29.2</f>
        <v>98.2</v>
      </c>
      <c r="I618" s="41">
        <v>127.4</v>
      </c>
      <c r="J618" s="41">
        <v>127.4</v>
      </c>
    </row>
    <row r="619" spans="1:10" s="37" customFormat="1" ht="28.5" customHeight="1" x14ac:dyDescent="0.2">
      <c r="A619" s="27"/>
      <c r="B619" s="70"/>
      <c r="C619" s="16" t="s">
        <v>104</v>
      </c>
      <c r="D619" s="16" t="s">
        <v>99</v>
      </c>
      <c r="E619" s="52" t="s">
        <v>427</v>
      </c>
      <c r="F619" s="82"/>
      <c r="G619" s="46" t="s">
        <v>426</v>
      </c>
      <c r="H619" s="41">
        <f>H620+H625+H628+H638</f>
        <v>1495.8999999999999</v>
      </c>
      <c r="I619" s="41">
        <f t="shared" ref="I619:J619" si="239">I620+I625+I628+I638</f>
        <v>1409.8000000000002</v>
      </c>
      <c r="J619" s="41">
        <f t="shared" si="239"/>
        <v>1409.8000000000002</v>
      </c>
    </row>
    <row r="620" spans="1:10" s="37" customFormat="1" ht="25.5" x14ac:dyDescent="0.2">
      <c r="A620" s="27"/>
      <c r="B620" s="70"/>
      <c r="C620" s="16" t="s">
        <v>104</v>
      </c>
      <c r="D620" s="16" t="s">
        <v>99</v>
      </c>
      <c r="E620" s="21" t="s">
        <v>428</v>
      </c>
      <c r="F620" s="21"/>
      <c r="G620" s="97" t="s">
        <v>466</v>
      </c>
      <c r="H620" s="41">
        <f>H621+H623</f>
        <v>253.89999999999998</v>
      </c>
      <c r="I620" s="41">
        <f t="shared" ref="I620:J620" si="240">I621+I623</f>
        <v>253.89999999999998</v>
      </c>
      <c r="J620" s="41">
        <f t="shared" si="240"/>
        <v>253.89999999999998</v>
      </c>
    </row>
    <row r="621" spans="1:10" s="37" customFormat="1" ht="40.5" customHeight="1" x14ac:dyDescent="0.2">
      <c r="A621" s="27"/>
      <c r="B621" s="70"/>
      <c r="C621" s="16" t="s">
        <v>104</v>
      </c>
      <c r="D621" s="16" t="s">
        <v>99</v>
      </c>
      <c r="E621" s="21" t="s">
        <v>556</v>
      </c>
      <c r="F621" s="16"/>
      <c r="G621" s="97" t="s">
        <v>429</v>
      </c>
      <c r="H621" s="39">
        <f>H622</f>
        <v>141.69999999999999</v>
      </c>
      <c r="I621" s="39">
        <f>I622</f>
        <v>141.69999999999999</v>
      </c>
      <c r="J621" s="39">
        <f>J622</f>
        <v>141.69999999999999</v>
      </c>
    </row>
    <row r="622" spans="1:10" s="37" customFormat="1" ht="14.25" x14ac:dyDescent="0.2">
      <c r="A622" s="27"/>
      <c r="B622" s="70"/>
      <c r="C622" s="16" t="s">
        <v>104</v>
      </c>
      <c r="D622" s="16" t="s">
        <v>99</v>
      </c>
      <c r="E622" s="21" t="s">
        <v>556</v>
      </c>
      <c r="F622" s="82" t="s">
        <v>355</v>
      </c>
      <c r="G622" s="98" t="s">
        <v>356</v>
      </c>
      <c r="H622" s="41">
        <v>141.69999999999999</v>
      </c>
      <c r="I622" s="41">
        <v>141.69999999999999</v>
      </c>
      <c r="J622" s="41">
        <v>141.69999999999999</v>
      </c>
    </row>
    <row r="623" spans="1:10" s="37" customFormat="1" ht="38.25" x14ac:dyDescent="0.2">
      <c r="A623" s="27"/>
      <c r="B623" s="70"/>
      <c r="C623" s="16" t="s">
        <v>104</v>
      </c>
      <c r="D623" s="16" t="s">
        <v>99</v>
      </c>
      <c r="E623" s="57" t="s">
        <v>557</v>
      </c>
      <c r="F623" s="16"/>
      <c r="G623" s="98" t="s">
        <v>49</v>
      </c>
      <c r="H623" s="41">
        <f>H624</f>
        <v>112.2</v>
      </c>
      <c r="I623" s="41">
        <f>I624</f>
        <v>112.2</v>
      </c>
      <c r="J623" s="41">
        <f>J624</f>
        <v>112.2</v>
      </c>
    </row>
    <row r="624" spans="1:10" s="37" customFormat="1" ht="38.25" x14ac:dyDescent="0.2">
      <c r="A624" s="27"/>
      <c r="B624" s="70"/>
      <c r="C624" s="16" t="s">
        <v>104</v>
      </c>
      <c r="D624" s="16" t="s">
        <v>99</v>
      </c>
      <c r="E624" s="57" t="s">
        <v>557</v>
      </c>
      <c r="F624" s="82" t="s">
        <v>211</v>
      </c>
      <c r="G624" s="98" t="s">
        <v>212</v>
      </c>
      <c r="H624" s="41">
        <v>112.2</v>
      </c>
      <c r="I624" s="41">
        <v>112.2</v>
      </c>
      <c r="J624" s="41">
        <v>112.2</v>
      </c>
    </row>
    <row r="625" spans="1:10" s="37" customFormat="1" ht="38.25" x14ac:dyDescent="0.2">
      <c r="A625" s="27"/>
      <c r="B625" s="70"/>
      <c r="C625" s="16" t="s">
        <v>104</v>
      </c>
      <c r="D625" s="16" t="s">
        <v>99</v>
      </c>
      <c r="E625" s="21" t="s">
        <v>431</v>
      </c>
      <c r="F625" s="21"/>
      <c r="G625" s="97" t="s">
        <v>432</v>
      </c>
      <c r="H625" s="39">
        <f>H626</f>
        <v>104.2</v>
      </c>
      <c r="I625" s="39">
        <f t="shared" ref="I625:J625" si="241">I626</f>
        <v>75</v>
      </c>
      <c r="J625" s="39">
        <f t="shared" si="241"/>
        <v>75</v>
      </c>
    </row>
    <row r="626" spans="1:10" s="37" customFormat="1" ht="38.25" x14ac:dyDescent="0.2">
      <c r="A626" s="27"/>
      <c r="B626" s="70"/>
      <c r="C626" s="16" t="s">
        <v>104</v>
      </c>
      <c r="D626" s="16" t="s">
        <v>99</v>
      </c>
      <c r="E626" s="57" t="s">
        <v>554</v>
      </c>
      <c r="F626" s="16"/>
      <c r="G626" s="54" t="s">
        <v>511</v>
      </c>
      <c r="H626" s="94">
        <f>H627</f>
        <v>104.2</v>
      </c>
      <c r="I626" s="94">
        <f>I627</f>
        <v>75</v>
      </c>
      <c r="J626" s="94">
        <f>J627</f>
        <v>75</v>
      </c>
    </row>
    <row r="627" spans="1:10" s="37" customFormat="1" ht="14.25" x14ac:dyDescent="0.2">
      <c r="A627" s="27"/>
      <c r="B627" s="70"/>
      <c r="C627" s="16" t="s">
        <v>104</v>
      </c>
      <c r="D627" s="16" t="s">
        <v>99</v>
      </c>
      <c r="E627" s="57" t="s">
        <v>554</v>
      </c>
      <c r="F627" s="21" t="s">
        <v>225</v>
      </c>
      <c r="G627" s="98" t="s">
        <v>224</v>
      </c>
      <c r="H627" s="94">
        <f>75+29.2</f>
        <v>104.2</v>
      </c>
      <c r="I627" s="94">
        <v>75</v>
      </c>
      <c r="J627" s="94">
        <v>75</v>
      </c>
    </row>
    <row r="628" spans="1:10" s="37" customFormat="1" ht="38.25" x14ac:dyDescent="0.2">
      <c r="A628" s="27"/>
      <c r="B628" s="70"/>
      <c r="C628" s="16" t="s">
        <v>104</v>
      </c>
      <c r="D628" s="16" t="s">
        <v>99</v>
      </c>
      <c r="E628" s="21" t="s">
        <v>433</v>
      </c>
      <c r="F628" s="21"/>
      <c r="G628" s="108" t="s">
        <v>737</v>
      </c>
      <c r="H628" s="41">
        <f>H629+H631+H634+H636</f>
        <v>1087.8</v>
      </c>
      <c r="I628" s="41">
        <f>I629+I631+I634+I636</f>
        <v>1080.9000000000001</v>
      </c>
      <c r="J628" s="41">
        <f>J629+J631+J634+J636</f>
        <v>1080.9000000000001</v>
      </c>
    </row>
    <row r="629" spans="1:10" s="37" customFormat="1" ht="63.75" x14ac:dyDescent="0.2">
      <c r="A629" s="27"/>
      <c r="B629" s="70"/>
      <c r="C629" s="16" t="s">
        <v>104</v>
      </c>
      <c r="D629" s="16" t="s">
        <v>99</v>
      </c>
      <c r="E629" s="80">
        <v>140323020</v>
      </c>
      <c r="F629" s="82"/>
      <c r="G629" s="98" t="s">
        <v>133</v>
      </c>
      <c r="H629" s="41">
        <f>H630</f>
        <v>304.5</v>
      </c>
      <c r="I629" s="41">
        <f>I630</f>
        <v>297.60000000000002</v>
      </c>
      <c r="J629" s="41">
        <f>J630</f>
        <v>297.60000000000002</v>
      </c>
    </row>
    <row r="630" spans="1:10" s="37" customFormat="1" ht="38.25" x14ac:dyDescent="0.2">
      <c r="A630" s="27"/>
      <c r="B630" s="70"/>
      <c r="C630" s="16" t="s">
        <v>104</v>
      </c>
      <c r="D630" s="16" t="s">
        <v>99</v>
      </c>
      <c r="E630" s="80">
        <v>140323020</v>
      </c>
      <c r="F630" s="82" t="s">
        <v>211</v>
      </c>
      <c r="G630" s="98" t="s">
        <v>212</v>
      </c>
      <c r="H630" s="41">
        <f>297.6+6.9</f>
        <v>304.5</v>
      </c>
      <c r="I630" s="41">
        <v>297.60000000000002</v>
      </c>
      <c r="J630" s="41">
        <v>297.60000000000002</v>
      </c>
    </row>
    <row r="631" spans="1:10" s="37" customFormat="1" ht="80.25" customHeight="1" x14ac:dyDescent="0.2">
      <c r="A631" s="27"/>
      <c r="B631" s="70"/>
      <c r="C631" s="16" t="s">
        <v>104</v>
      </c>
      <c r="D631" s="16" t="s">
        <v>99</v>
      </c>
      <c r="E631" s="80">
        <v>140323025</v>
      </c>
      <c r="F631" s="82"/>
      <c r="G631" s="98" t="s">
        <v>738</v>
      </c>
      <c r="H631" s="41">
        <f>SUM(H632:H633)</f>
        <v>479.3</v>
      </c>
      <c r="I631" s="41">
        <f t="shared" ref="I631:J631" si="242">SUM(I632:I633)</f>
        <v>479.3</v>
      </c>
      <c r="J631" s="41">
        <f t="shared" si="242"/>
        <v>479.3</v>
      </c>
    </row>
    <row r="632" spans="1:10" s="37" customFormat="1" ht="38.25" x14ac:dyDescent="0.2">
      <c r="A632" s="27"/>
      <c r="B632" s="70"/>
      <c r="C632" s="16" t="s">
        <v>104</v>
      </c>
      <c r="D632" s="16" t="s">
        <v>99</v>
      </c>
      <c r="E632" s="80">
        <v>140323025</v>
      </c>
      <c r="F632" s="82" t="s">
        <v>211</v>
      </c>
      <c r="G632" s="98" t="s">
        <v>212</v>
      </c>
      <c r="H632" s="41">
        <v>444.3</v>
      </c>
      <c r="I632" s="41">
        <v>444.3</v>
      </c>
      <c r="J632" s="41">
        <v>444.3</v>
      </c>
    </row>
    <row r="633" spans="1:10" s="37" customFormat="1" ht="14.25" x14ac:dyDescent="0.2">
      <c r="A633" s="27"/>
      <c r="B633" s="70"/>
      <c r="C633" s="16" t="s">
        <v>104</v>
      </c>
      <c r="D633" s="16" t="s">
        <v>99</v>
      </c>
      <c r="E633" s="80">
        <v>140323025</v>
      </c>
      <c r="F633" s="82" t="s">
        <v>632</v>
      </c>
      <c r="G633" s="98" t="s">
        <v>633</v>
      </c>
      <c r="H633" s="41">
        <v>35</v>
      </c>
      <c r="I633" s="41">
        <v>35</v>
      </c>
      <c r="J633" s="41">
        <v>35</v>
      </c>
    </row>
    <row r="634" spans="1:10" s="37" customFormat="1" ht="53.25" customHeight="1" x14ac:dyDescent="0.2">
      <c r="A634" s="27"/>
      <c r="B634" s="70"/>
      <c r="C634" s="16" t="s">
        <v>104</v>
      </c>
      <c r="D634" s="16" t="s">
        <v>99</v>
      </c>
      <c r="E634" s="80" t="s">
        <v>434</v>
      </c>
      <c r="F634" s="82"/>
      <c r="G634" s="98" t="s">
        <v>435</v>
      </c>
      <c r="H634" s="41">
        <f>H635</f>
        <v>153.19999999999999</v>
      </c>
      <c r="I634" s="41">
        <f>I635</f>
        <v>153.19999999999999</v>
      </c>
      <c r="J634" s="41">
        <f>J635</f>
        <v>153.19999999999999</v>
      </c>
    </row>
    <row r="635" spans="1:10" s="37" customFormat="1" ht="38.25" x14ac:dyDescent="0.2">
      <c r="A635" s="27"/>
      <c r="B635" s="70"/>
      <c r="C635" s="16" t="s">
        <v>104</v>
      </c>
      <c r="D635" s="16" t="s">
        <v>99</v>
      </c>
      <c r="E635" s="80" t="s">
        <v>434</v>
      </c>
      <c r="F635" s="82" t="s">
        <v>211</v>
      </c>
      <c r="G635" s="98" t="s">
        <v>212</v>
      </c>
      <c r="H635" s="41">
        <f>90+63.2</f>
        <v>153.19999999999999</v>
      </c>
      <c r="I635" s="41">
        <f>90+63.2</f>
        <v>153.19999999999999</v>
      </c>
      <c r="J635" s="41">
        <f>90+63.2</f>
        <v>153.19999999999999</v>
      </c>
    </row>
    <row r="636" spans="1:10" s="37" customFormat="1" ht="38.25" x14ac:dyDescent="0.2">
      <c r="A636" s="27"/>
      <c r="B636" s="70"/>
      <c r="C636" s="16" t="s">
        <v>104</v>
      </c>
      <c r="D636" s="16" t="s">
        <v>99</v>
      </c>
      <c r="E636" s="80">
        <v>140311080</v>
      </c>
      <c r="F636" s="82"/>
      <c r="G636" s="98" t="s">
        <v>436</v>
      </c>
      <c r="H636" s="41">
        <f>H637</f>
        <v>150.80000000000001</v>
      </c>
      <c r="I636" s="41">
        <f>I637</f>
        <v>150.80000000000001</v>
      </c>
      <c r="J636" s="41">
        <f>J637</f>
        <v>150.80000000000001</v>
      </c>
    </row>
    <row r="637" spans="1:10" s="37" customFormat="1" ht="38.25" x14ac:dyDescent="0.2">
      <c r="A637" s="27"/>
      <c r="B637" s="70"/>
      <c r="C637" s="16" t="s">
        <v>104</v>
      </c>
      <c r="D637" s="16" t="s">
        <v>99</v>
      </c>
      <c r="E637" s="80">
        <v>140311080</v>
      </c>
      <c r="F637" s="82" t="s">
        <v>211</v>
      </c>
      <c r="G637" s="98" t="s">
        <v>212</v>
      </c>
      <c r="H637" s="39">
        <v>150.80000000000001</v>
      </c>
      <c r="I637" s="39">
        <v>150.80000000000001</v>
      </c>
      <c r="J637" s="39">
        <v>150.80000000000001</v>
      </c>
    </row>
    <row r="638" spans="1:10" s="37" customFormat="1" ht="25.5" x14ac:dyDescent="0.2">
      <c r="A638" s="27"/>
      <c r="B638" s="70"/>
      <c r="C638" s="16" t="s">
        <v>104</v>
      </c>
      <c r="D638" s="16" t="s">
        <v>99</v>
      </c>
      <c r="E638" s="21" t="s">
        <v>752</v>
      </c>
      <c r="F638" s="82"/>
      <c r="G638" s="174" t="s">
        <v>753</v>
      </c>
      <c r="H638" s="39">
        <f>H639</f>
        <v>50</v>
      </c>
      <c r="I638" s="39">
        <f t="shared" ref="I638:J638" si="243">I639</f>
        <v>0</v>
      </c>
      <c r="J638" s="39">
        <f t="shared" si="243"/>
        <v>0</v>
      </c>
    </row>
    <row r="639" spans="1:10" s="37" customFormat="1" ht="63.75" x14ac:dyDescent="0.2">
      <c r="A639" s="27"/>
      <c r="B639" s="70"/>
      <c r="C639" s="16" t="s">
        <v>104</v>
      </c>
      <c r="D639" s="16" t="s">
        <v>99</v>
      </c>
      <c r="E639" s="21" t="s">
        <v>750</v>
      </c>
      <c r="F639" s="82"/>
      <c r="G639" s="130" t="s">
        <v>751</v>
      </c>
      <c r="H639" s="39">
        <f>H640</f>
        <v>50</v>
      </c>
      <c r="I639" s="39">
        <v>0</v>
      </c>
      <c r="J639" s="39">
        <v>0</v>
      </c>
    </row>
    <row r="640" spans="1:10" s="37" customFormat="1" ht="38.25" x14ac:dyDescent="0.2">
      <c r="A640" s="27"/>
      <c r="B640" s="70"/>
      <c r="C640" s="16" t="s">
        <v>104</v>
      </c>
      <c r="D640" s="16" t="s">
        <v>99</v>
      </c>
      <c r="E640" s="21" t="s">
        <v>750</v>
      </c>
      <c r="F640" s="82" t="s">
        <v>211</v>
      </c>
      <c r="G640" s="98" t="s">
        <v>212</v>
      </c>
      <c r="H640" s="39">
        <v>50</v>
      </c>
      <c r="I640" s="39">
        <v>0</v>
      </c>
      <c r="J640" s="39">
        <v>0</v>
      </c>
    </row>
    <row r="641" spans="1:10" s="37" customFormat="1" ht="14.25" x14ac:dyDescent="0.2">
      <c r="A641" s="27"/>
      <c r="B641" s="70"/>
      <c r="C641" s="16" t="s">
        <v>104</v>
      </c>
      <c r="D641" s="16" t="s">
        <v>99</v>
      </c>
      <c r="E641" s="52" t="s">
        <v>76</v>
      </c>
      <c r="F641" s="16"/>
      <c r="G641" s="66" t="s">
        <v>46</v>
      </c>
      <c r="H641" s="41">
        <f>H642</f>
        <v>9055.9</v>
      </c>
      <c r="I641" s="41">
        <f>I642</f>
        <v>8745.1999999999989</v>
      </c>
      <c r="J641" s="41">
        <f>J642</f>
        <v>8745.1999999999989</v>
      </c>
    </row>
    <row r="642" spans="1:10" s="37" customFormat="1" ht="63.75" x14ac:dyDescent="0.2">
      <c r="A642" s="27"/>
      <c r="B642" s="70"/>
      <c r="C642" s="16" t="s">
        <v>104</v>
      </c>
      <c r="D642" s="16" t="s">
        <v>99</v>
      </c>
      <c r="E642" s="80">
        <v>190022200</v>
      </c>
      <c r="F642" s="82"/>
      <c r="G642" s="98" t="s">
        <v>437</v>
      </c>
      <c r="H642" s="41">
        <f>SUM(H643:H645)</f>
        <v>9055.9</v>
      </c>
      <c r="I642" s="41">
        <f t="shared" ref="I642:J642" si="244">SUM(I643:I645)</f>
        <v>8745.1999999999989</v>
      </c>
      <c r="J642" s="41">
        <f t="shared" si="244"/>
        <v>8745.1999999999989</v>
      </c>
    </row>
    <row r="643" spans="1:10" s="37" customFormat="1" ht="38.25" x14ac:dyDescent="0.2">
      <c r="A643" s="27"/>
      <c r="B643" s="70"/>
      <c r="C643" s="16" t="s">
        <v>104</v>
      </c>
      <c r="D643" s="16" t="s">
        <v>99</v>
      </c>
      <c r="E643" s="80">
        <v>190022200</v>
      </c>
      <c r="F643" s="16" t="s">
        <v>62</v>
      </c>
      <c r="G643" s="55" t="s">
        <v>63</v>
      </c>
      <c r="H643" s="41">
        <f>8258.3+301.7</f>
        <v>8560</v>
      </c>
      <c r="I643" s="41">
        <v>8258.2999999999993</v>
      </c>
      <c r="J643" s="41">
        <v>8258.2999999999993</v>
      </c>
    </row>
    <row r="644" spans="1:10" s="37" customFormat="1" ht="38.25" x14ac:dyDescent="0.2">
      <c r="A644" s="27"/>
      <c r="B644" s="70"/>
      <c r="C644" s="16" t="s">
        <v>104</v>
      </c>
      <c r="D644" s="16" t="s">
        <v>99</v>
      </c>
      <c r="E644" s="80">
        <v>190022200</v>
      </c>
      <c r="F644" s="82" t="s">
        <v>211</v>
      </c>
      <c r="G644" s="98" t="s">
        <v>212</v>
      </c>
      <c r="H644" s="41">
        <v>486.9</v>
      </c>
      <c r="I644" s="41">
        <v>486.9</v>
      </c>
      <c r="J644" s="41">
        <v>486.9</v>
      </c>
    </row>
    <row r="645" spans="1:10" s="37" customFormat="1" ht="38.25" x14ac:dyDescent="0.2">
      <c r="A645" s="27"/>
      <c r="B645" s="70"/>
      <c r="C645" s="16" t="s">
        <v>104</v>
      </c>
      <c r="D645" s="16" t="s">
        <v>99</v>
      </c>
      <c r="E645" s="80">
        <v>190022200</v>
      </c>
      <c r="F645" s="82" t="s">
        <v>260</v>
      </c>
      <c r="G645" s="98" t="s">
        <v>249</v>
      </c>
      <c r="H645" s="41">
        <v>9</v>
      </c>
      <c r="I645" s="41">
        <v>0</v>
      </c>
      <c r="J645" s="41">
        <v>0</v>
      </c>
    </row>
    <row r="646" spans="1:10" ht="15.75" x14ac:dyDescent="0.25">
      <c r="A646" s="3"/>
      <c r="B646" s="91"/>
      <c r="C646" s="4" t="s">
        <v>110</v>
      </c>
      <c r="D646" s="3"/>
      <c r="E646" s="3"/>
      <c r="F646" s="3"/>
      <c r="G646" s="49" t="s">
        <v>111</v>
      </c>
      <c r="H646" s="92">
        <f>H647+H653</f>
        <v>13016.699999999999</v>
      </c>
      <c r="I646" s="92">
        <f>I647+I653</f>
        <v>13989.3</v>
      </c>
      <c r="J646" s="92">
        <f>J647+J653</f>
        <v>13989.3</v>
      </c>
    </row>
    <row r="647" spans="1:10" ht="15.75" x14ac:dyDescent="0.25">
      <c r="A647" s="3"/>
      <c r="B647" s="91"/>
      <c r="C647" s="35" t="s">
        <v>110</v>
      </c>
      <c r="D647" s="35" t="s">
        <v>93</v>
      </c>
      <c r="E647" s="35"/>
      <c r="F647" s="35"/>
      <c r="G647" s="45" t="s">
        <v>116</v>
      </c>
      <c r="H647" s="93">
        <f t="shared" ref="H647:J649" si="245">H648</f>
        <v>972</v>
      </c>
      <c r="I647" s="93">
        <f t="shared" si="245"/>
        <v>972</v>
      </c>
      <c r="J647" s="93">
        <f t="shared" si="245"/>
        <v>972</v>
      </c>
    </row>
    <row r="648" spans="1:10" ht="77.25" x14ac:dyDescent="0.25">
      <c r="A648" s="3"/>
      <c r="B648" s="91"/>
      <c r="C648" s="82" t="s">
        <v>110</v>
      </c>
      <c r="D648" s="82" t="s">
        <v>93</v>
      </c>
      <c r="E648" s="21" t="s">
        <v>73</v>
      </c>
      <c r="F648" s="35"/>
      <c r="G648" s="64" t="s">
        <v>571</v>
      </c>
      <c r="H648" s="96">
        <f t="shared" si="245"/>
        <v>972</v>
      </c>
      <c r="I648" s="96">
        <f t="shared" si="245"/>
        <v>972</v>
      </c>
      <c r="J648" s="96">
        <f t="shared" si="245"/>
        <v>972</v>
      </c>
    </row>
    <row r="649" spans="1:10" ht="27.75" customHeight="1" x14ac:dyDescent="0.25">
      <c r="A649" s="3"/>
      <c r="B649" s="91"/>
      <c r="C649" s="47" t="s">
        <v>110</v>
      </c>
      <c r="D649" s="47" t="s">
        <v>93</v>
      </c>
      <c r="E649" s="52" t="s">
        <v>427</v>
      </c>
      <c r="F649" s="82"/>
      <c r="G649" s="46" t="s">
        <v>426</v>
      </c>
      <c r="H649" s="41">
        <f>H650</f>
        <v>972</v>
      </c>
      <c r="I649" s="41">
        <f t="shared" si="245"/>
        <v>972</v>
      </c>
      <c r="J649" s="41">
        <f t="shared" si="245"/>
        <v>972</v>
      </c>
    </row>
    <row r="650" spans="1:10" ht="26.25" x14ac:dyDescent="0.25">
      <c r="A650" s="3"/>
      <c r="B650" s="91"/>
      <c r="C650" s="16" t="s">
        <v>110</v>
      </c>
      <c r="D650" s="16" t="s">
        <v>93</v>
      </c>
      <c r="E650" s="21" t="s">
        <v>428</v>
      </c>
      <c r="F650" s="21"/>
      <c r="G650" s="97" t="s">
        <v>466</v>
      </c>
      <c r="H650" s="41">
        <v>972</v>
      </c>
      <c r="I650" s="41">
        <v>972</v>
      </c>
      <c r="J650" s="41">
        <v>972</v>
      </c>
    </row>
    <row r="651" spans="1:10" ht="102" x14ac:dyDescent="0.25">
      <c r="A651" s="3"/>
      <c r="B651" s="91"/>
      <c r="C651" s="16" t="s">
        <v>110</v>
      </c>
      <c r="D651" s="16" t="s">
        <v>93</v>
      </c>
      <c r="E651" s="80">
        <v>140210560</v>
      </c>
      <c r="F651" s="82"/>
      <c r="G651" s="98" t="s">
        <v>182</v>
      </c>
      <c r="H651" s="41">
        <f>H652</f>
        <v>972</v>
      </c>
      <c r="I651" s="41">
        <f>I652</f>
        <v>972</v>
      </c>
      <c r="J651" s="41">
        <f>J652</f>
        <v>972</v>
      </c>
    </row>
    <row r="652" spans="1:10" ht="25.5" x14ac:dyDescent="0.25">
      <c r="A652" s="3"/>
      <c r="B652" s="91"/>
      <c r="C652" s="16" t="s">
        <v>110</v>
      </c>
      <c r="D652" s="16" t="s">
        <v>93</v>
      </c>
      <c r="E652" s="80">
        <v>140210560</v>
      </c>
      <c r="F652" s="82" t="s">
        <v>279</v>
      </c>
      <c r="G652" s="98" t="s">
        <v>280</v>
      </c>
      <c r="H652" s="41">
        <f>1026-54</f>
        <v>972</v>
      </c>
      <c r="I652" s="41">
        <f t="shared" ref="I652:J652" si="246">1026-54</f>
        <v>972</v>
      </c>
      <c r="J652" s="41">
        <f t="shared" si="246"/>
        <v>972</v>
      </c>
    </row>
    <row r="653" spans="1:10" ht="14.25" x14ac:dyDescent="0.2">
      <c r="A653" s="1"/>
      <c r="B653" s="25"/>
      <c r="C653" s="35" t="s">
        <v>110</v>
      </c>
      <c r="D653" s="35" t="s">
        <v>94</v>
      </c>
      <c r="E653" s="35"/>
      <c r="F653" s="38"/>
      <c r="G653" s="50" t="s">
        <v>13</v>
      </c>
      <c r="H653" s="42">
        <f t="shared" ref="H653:J656" si="247">H654</f>
        <v>12044.699999999999</v>
      </c>
      <c r="I653" s="42">
        <f t="shared" si="247"/>
        <v>13017.3</v>
      </c>
      <c r="J653" s="42">
        <f t="shared" si="247"/>
        <v>13017.3</v>
      </c>
    </row>
    <row r="654" spans="1:10" ht="76.5" x14ac:dyDescent="0.2">
      <c r="A654" s="1"/>
      <c r="B654" s="25"/>
      <c r="C654" s="16" t="s">
        <v>110</v>
      </c>
      <c r="D654" s="16" t="s">
        <v>94</v>
      </c>
      <c r="E654" s="21" t="s">
        <v>73</v>
      </c>
      <c r="F654" s="35"/>
      <c r="G654" s="64" t="s">
        <v>571</v>
      </c>
      <c r="H654" s="96">
        <f t="shared" si="247"/>
        <v>12044.699999999999</v>
      </c>
      <c r="I654" s="96">
        <f t="shared" si="247"/>
        <v>13017.3</v>
      </c>
      <c r="J654" s="96">
        <f t="shared" si="247"/>
        <v>13017.3</v>
      </c>
    </row>
    <row r="655" spans="1:10" ht="25.5" x14ac:dyDescent="0.2">
      <c r="A655" s="1"/>
      <c r="B655" s="25"/>
      <c r="C655" s="16" t="s">
        <v>110</v>
      </c>
      <c r="D655" s="16" t="s">
        <v>94</v>
      </c>
      <c r="E655" s="52" t="s">
        <v>74</v>
      </c>
      <c r="F655" s="35"/>
      <c r="G655" s="46" t="s">
        <v>388</v>
      </c>
      <c r="H655" s="93">
        <f t="shared" si="247"/>
        <v>12044.699999999999</v>
      </c>
      <c r="I655" s="93">
        <f t="shared" si="247"/>
        <v>13017.3</v>
      </c>
      <c r="J655" s="93">
        <f t="shared" si="247"/>
        <v>13017.3</v>
      </c>
    </row>
    <row r="656" spans="1:10" ht="25.5" x14ac:dyDescent="0.2">
      <c r="A656" s="1"/>
      <c r="B656" s="25"/>
      <c r="C656" s="16" t="s">
        <v>110</v>
      </c>
      <c r="D656" s="16" t="s">
        <v>94</v>
      </c>
      <c r="E656" s="21" t="s">
        <v>283</v>
      </c>
      <c r="F656" s="21"/>
      <c r="G656" s="97" t="s">
        <v>385</v>
      </c>
      <c r="H656" s="39">
        <f t="shared" si="247"/>
        <v>12044.699999999999</v>
      </c>
      <c r="I656" s="39">
        <f t="shared" si="247"/>
        <v>13017.3</v>
      </c>
      <c r="J656" s="39">
        <f t="shared" si="247"/>
        <v>13017.3</v>
      </c>
    </row>
    <row r="657" spans="1:10" ht="76.5" x14ac:dyDescent="0.2">
      <c r="A657" s="1"/>
      <c r="B657" s="25"/>
      <c r="C657" s="16" t="s">
        <v>110</v>
      </c>
      <c r="D657" s="16" t="s">
        <v>94</v>
      </c>
      <c r="E657" s="57" t="s">
        <v>387</v>
      </c>
      <c r="F657" s="21"/>
      <c r="G657" s="98" t="s">
        <v>386</v>
      </c>
      <c r="H657" s="94">
        <f>H658+H659</f>
        <v>12044.699999999999</v>
      </c>
      <c r="I657" s="94">
        <f>I658+I659</f>
        <v>13017.3</v>
      </c>
      <c r="J657" s="94">
        <f>J658+J659</f>
        <v>13017.3</v>
      </c>
    </row>
    <row r="658" spans="1:10" ht="38.25" x14ac:dyDescent="0.2">
      <c r="A658" s="1"/>
      <c r="B658" s="25"/>
      <c r="C658" s="16" t="s">
        <v>110</v>
      </c>
      <c r="D658" s="16" t="s">
        <v>94</v>
      </c>
      <c r="E658" s="57" t="s">
        <v>387</v>
      </c>
      <c r="F658" s="82" t="s">
        <v>211</v>
      </c>
      <c r="G658" s="98" t="s">
        <v>212</v>
      </c>
      <c r="H658" s="94">
        <v>330</v>
      </c>
      <c r="I658" s="94">
        <v>330</v>
      </c>
      <c r="J658" s="94">
        <v>330</v>
      </c>
    </row>
    <row r="659" spans="1:10" ht="38.25" x14ac:dyDescent="0.2">
      <c r="A659" s="1"/>
      <c r="B659" s="25"/>
      <c r="C659" s="16" t="s">
        <v>110</v>
      </c>
      <c r="D659" s="16" t="s">
        <v>94</v>
      </c>
      <c r="E659" s="57" t="s">
        <v>387</v>
      </c>
      <c r="F659" s="82" t="s">
        <v>260</v>
      </c>
      <c r="G659" s="98" t="s">
        <v>249</v>
      </c>
      <c r="H659" s="94">
        <f>12687.3-972.6</f>
        <v>11714.699999999999</v>
      </c>
      <c r="I659" s="94">
        <v>12687.3</v>
      </c>
      <c r="J659" s="94">
        <v>12687.3</v>
      </c>
    </row>
    <row r="660" spans="1:10" s="8" customFormat="1" ht="108" x14ac:dyDescent="0.25">
      <c r="A660" s="3">
        <v>5</v>
      </c>
      <c r="B660" s="91">
        <v>938</v>
      </c>
      <c r="C660" s="13"/>
      <c r="D660" s="13"/>
      <c r="E660" s="13"/>
      <c r="F660" s="13"/>
      <c r="G660" s="14" t="s">
        <v>175</v>
      </c>
      <c r="H660" s="92">
        <f>H661+H668+H720+H770</f>
        <v>149872.80000000002</v>
      </c>
      <c r="I660" s="92">
        <f>I661+I668+I720+I770</f>
        <v>125696.8</v>
      </c>
      <c r="J660" s="92">
        <f>J661+J668+J720+J770</f>
        <v>131060.8</v>
      </c>
    </row>
    <row r="661" spans="1:10" s="8" customFormat="1" ht="45" x14ac:dyDescent="0.25">
      <c r="A661" s="3"/>
      <c r="B661" s="91"/>
      <c r="C661" s="4" t="s">
        <v>93</v>
      </c>
      <c r="D661" s="3"/>
      <c r="E661" s="3"/>
      <c r="F661" s="3"/>
      <c r="G661" s="49" t="s">
        <v>98</v>
      </c>
      <c r="H661" s="92">
        <f>H662</f>
        <v>34</v>
      </c>
      <c r="I661" s="92">
        <f t="shared" ref="I661:J662" si="248">I662</f>
        <v>34</v>
      </c>
      <c r="J661" s="92">
        <f t="shared" si="248"/>
        <v>34</v>
      </c>
    </row>
    <row r="662" spans="1:10" s="8" customFormat="1" ht="39" x14ac:dyDescent="0.25">
      <c r="A662" s="3"/>
      <c r="B662" s="91"/>
      <c r="C662" s="28" t="s">
        <v>93</v>
      </c>
      <c r="D662" s="28" t="s">
        <v>121</v>
      </c>
      <c r="E662" s="28"/>
      <c r="F662" s="34"/>
      <c r="G662" s="46" t="s">
        <v>22</v>
      </c>
      <c r="H662" s="40">
        <f>H663</f>
        <v>34</v>
      </c>
      <c r="I662" s="40">
        <f t="shared" si="248"/>
        <v>34</v>
      </c>
      <c r="J662" s="40">
        <f t="shared" si="248"/>
        <v>34</v>
      </c>
    </row>
    <row r="663" spans="1:10" s="8" customFormat="1" ht="90" x14ac:dyDescent="0.25">
      <c r="A663" s="3"/>
      <c r="B663" s="91"/>
      <c r="C663" s="21" t="s">
        <v>93</v>
      </c>
      <c r="D663" s="21" t="s">
        <v>121</v>
      </c>
      <c r="E663" s="73" t="s">
        <v>71</v>
      </c>
      <c r="F663" s="16"/>
      <c r="G663" s="53" t="s">
        <v>582</v>
      </c>
      <c r="H663" s="96">
        <f t="shared" ref="H663:J666" si="249">H664</f>
        <v>34</v>
      </c>
      <c r="I663" s="96">
        <f t="shared" si="249"/>
        <v>34</v>
      </c>
      <c r="J663" s="96">
        <f t="shared" si="249"/>
        <v>34</v>
      </c>
    </row>
    <row r="664" spans="1:10" s="8" customFormat="1" ht="51" x14ac:dyDescent="0.25">
      <c r="A664" s="3"/>
      <c r="B664" s="91"/>
      <c r="C664" s="21" t="s">
        <v>93</v>
      </c>
      <c r="D664" s="21" t="s">
        <v>121</v>
      </c>
      <c r="E664" s="52" t="s">
        <v>72</v>
      </c>
      <c r="F664" s="16"/>
      <c r="G664" s="60" t="s">
        <v>187</v>
      </c>
      <c r="H664" s="58">
        <f t="shared" si="249"/>
        <v>34</v>
      </c>
      <c r="I664" s="58">
        <f t="shared" si="249"/>
        <v>34</v>
      </c>
      <c r="J664" s="58">
        <f t="shared" si="249"/>
        <v>34</v>
      </c>
    </row>
    <row r="665" spans="1:10" s="8" customFormat="1" ht="38.25" x14ac:dyDescent="0.25">
      <c r="A665" s="3"/>
      <c r="B665" s="91"/>
      <c r="C665" s="21" t="s">
        <v>93</v>
      </c>
      <c r="D665" s="21" t="s">
        <v>121</v>
      </c>
      <c r="E665" s="21" t="s">
        <v>226</v>
      </c>
      <c r="F665" s="82"/>
      <c r="G665" s="98" t="s">
        <v>337</v>
      </c>
      <c r="H665" s="41">
        <f t="shared" si="249"/>
        <v>34</v>
      </c>
      <c r="I665" s="41">
        <f t="shared" si="249"/>
        <v>34</v>
      </c>
      <c r="J665" s="41">
        <f t="shared" si="249"/>
        <v>34</v>
      </c>
    </row>
    <row r="666" spans="1:10" s="8" customFormat="1" ht="63.75" x14ac:dyDescent="0.25">
      <c r="A666" s="3"/>
      <c r="B666" s="91"/>
      <c r="C666" s="21" t="s">
        <v>93</v>
      </c>
      <c r="D666" s="21" t="s">
        <v>121</v>
      </c>
      <c r="E666" s="21" t="s">
        <v>513</v>
      </c>
      <c r="F666" s="16"/>
      <c r="G666" s="98" t="s">
        <v>338</v>
      </c>
      <c r="H666" s="41">
        <f t="shared" si="249"/>
        <v>34</v>
      </c>
      <c r="I666" s="41">
        <f t="shared" si="249"/>
        <v>34</v>
      </c>
      <c r="J666" s="41">
        <f t="shared" si="249"/>
        <v>34</v>
      </c>
    </row>
    <row r="667" spans="1:10" s="8" customFormat="1" ht="25.5" x14ac:dyDescent="0.25">
      <c r="A667" s="3"/>
      <c r="B667" s="91"/>
      <c r="C667" s="21" t="s">
        <v>93</v>
      </c>
      <c r="D667" s="21" t="s">
        <v>121</v>
      </c>
      <c r="E667" s="21" t="s">
        <v>513</v>
      </c>
      <c r="F667" s="82" t="s">
        <v>64</v>
      </c>
      <c r="G667" s="55" t="s">
        <v>130</v>
      </c>
      <c r="H667" s="41">
        <v>34</v>
      </c>
      <c r="I667" s="41">
        <v>34</v>
      </c>
      <c r="J667" s="41">
        <v>34</v>
      </c>
    </row>
    <row r="668" spans="1:10" ht="15.75" x14ac:dyDescent="0.25">
      <c r="A668" s="3"/>
      <c r="B668" s="91"/>
      <c r="C668" s="4" t="s">
        <v>104</v>
      </c>
      <c r="D668" s="3"/>
      <c r="E668" s="3"/>
      <c r="F668" s="3"/>
      <c r="G668" s="49" t="s">
        <v>105</v>
      </c>
      <c r="H668" s="92">
        <f>H669+H689</f>
        <v>33314.300000000003</v>
      </c>
      <c r="I668" s="92">
        <f>I669+I689</f>
        <v>28642.199999999997</v>
      </c>
      <c r="J668" s="92">
        <f>J669+J689</f>
        <v>29734.800000000003</v>
      </c>
    </row>
    <row r="669" spans="1:10" s="37" customFormat="1" ht="14.25" x14ac:dyDescent="0.2">
      <c r="A669" s="27"/>
      <c r="B669" s="70"/>
      <c r="C669" s="35" t="s">
        <v>104</v>
      </c>
      <c r="D669" s="35" t="s">
        <v>93</v>
      </c>
      <c r="E669" s="35"/>
      <c r="F669" s="35"/>
      <c r="G669" s="45" t="s">
        <v>156</v>
      </c>
      <c r="H669" s="42">
        <f>H670+H686</f>
        <v>20969.300000000003</v>
      </c>
      <c r="I669" s="42">
        <f>I670+I686</f>
        <v>20914.8</v>
      </c>
      <c r="J669" s="42">
        <f>J670+J686</f>
        <v>22007.4</v>
      </c>
    </row>
    <row r="670" spans="1:10" s="37" customFormat="1" ht="90" x14ac:dyDescent="0.25">
      <c r="A670" s="27"/>
      <c r="B670" s="70"/>
      <c r="C670" s="16" t="s">
        <v>104</v>
      </c>
      <c r="D670" s="82" t="s">
        <v>93</v>
      </c>
      <c r="E670" s="73" t="s">
        <v>59</v>
      </c>
      <c r="F670" s="35"/>
      <c r="G670" s="53" t="s">
        <v>572</v>
      </c>
      <c r="H670" s="65">
        <f t="shared" ref="H670:J670" si="250">H671</f>
        <v>20869.300000000003</v>
      </c>
      <c r="I670" s="65">
        <f t="shared" si="250"/>
        <v>20914.8</v>
      </c>
      <c r="J670" s="65">
        <f t="shared" si="250"/>
        <v>22007.4</v>
      </c>
    </row>
    <row r="671" spans="1:10" s="37" customFormat="1" ht="25.5" x14ac:dyDescent="0.2">
      <c r="A671" s="27"/>
      <c r="B671" s="70"/>
      <c r="C671" s="16" t="s">
        <v>104</v>
      </c>
      <c r="D671" s="82" t="s">
        <v>93</v>
      </c>
      <c r="E671" s="52" t="s">
        <v>60</v>
      </c>
      <c r="F671" s="35"/>
      <c r="G671" s="48" t="s">
        <v>171</v>
      </c>
      <c r="H671" s="58">
        <f>H672+H683</f>
        <v>20869.300000000003</v>
      </c>
      <c r="I671" s="58">
        <f t="shared" ref="I671:J671" si="251">I672+I683</f>
        <v>20914.8</v>
      </c>
      <c r="J671" s="58">
        <f t="shared" si="251"/>
        <v>22007.4</v>
      </c>
    </row>
    <row r="672" spans="1:10" s="37" customFormat="1" ht="25.5" x14ac:dyDescent="0.2">
      <c r="A672" s="27"/>
      <c r="B672" s="70"/>
      <c r="C672" s="16" t="s">
        <v>104</v>
      </c>
      <c r="D672" s="82" t="s">
        <v>93</v>
      </c>
      <c r="E672" s="21" t="s">
        <v>252</v>
      </c>
      <c r="F672" s="21"/>
      <c r="G672" s="101" t="s">
        <v>439</v>
      </c>
      <c r="H672" s="39">
        <f>H673+H675+H677+H679+H681</f>
        <v>20449.000000000004</v>
      </c>
      <c r="I672" s="39">
        <f t="shared" ref="I672:J672" si="252">I673+I675+I677+I679+I681</f>
        <v>20914.8</v>
      </c>
      <c r="J672" s="39">
        <f t="shared" si="252"/>
        <v>22007.4</v>
      </c>
    </row>
    <row r="673" spans="1:10" s="20" customFormat="1" ht="25.5" customHeight="1" x14ac:dyDescent="0.25">
      <c r="A673" s="18"/>
      <c r="B673" s="71"/>
      <c r="C673" s="16" t="s">
        <v>104</v>
      </c>
      <c r="D673" s="82" t="s">
        <v>93</v>
      </c>
      <c r="E673" s="74">
        <v>210221100</v>
      </c>
      <c r="F673" s="16"/>
      <c r="G673" s="99" t="s">
        <v>173</v>
      </c>
      <c r="H673" s="39">
        <f>H674</f>
        <v>12163.6</v>
      </c>
      <c r="I673" s="39">
        <f>I674</f>
        <v>11371.7</v>
      </c>
      <c r="J673" s="39">
        <f>J674</f>
        <v>11337.7</v>
      </c>
    </row>
    <row r="674" spans="1:10" x14ac:dyDescent="0.2">
      <c r="A674" s="1"/>
      <c r="B674" s="25"/>
      <c r="C674" s="16" t="s">
        <v>104</v>
      </c>
      <c r="D674" s="82" t="s">
        <v>93</v>
      </c>
      <c r="E674" s="74">
        <v>210221100</v>
      </c>
      <c r="F674" s="21" t="s">
        <v>225</v>
      </c>
      <c r="G674" s="98" t="s">
        <v>224</v>
      </c>
      <c r="H674" s="39">
        <f>11484.2+700-20.2-0.4</f>
        <v>12163.6</v>
      </c>
      <c r="I674" s="39">
        <f>11484.2-20.2-92.3</f>
        <v>11371.7</v>
      </c>
      <c r="J674" s="39">
        <f>11484.2-20.2-126.3</f>
        <v>11337.7</v>
      </c>
    </row>
    <row r="675" spans="1:10" ht="76.5" x14ac:dyDescent="0.2">
      <c r="A675" s="1"/>
      <c r="B675" s="25"/>
      <c r="C675" s="16" t="s">
        <v>104</v>
      </c>
      <c r="D675" s="82" t="s">
        <v>93</v>
      </c>
      <c r="E675" s="74">
        <v>210210690</v>
      </c>
      <c r="F675" s="21"/>
      <c r="G675" s="98" t="s">
        <v>314</v>
      </c>
      <c r="H675" s="39">
        <f>H676</f>
        <v>8169.1</v>
      </c>
      <c r="I675" s="39">
        <f>I676</f>
        <v>9379.4</v>
      </c>
      <c r="J675" s="39">
        <f>J676</f>
        <v>10472</v>
      </c>
    </row>
    <row r="676" spans="1:10" x14ac:dyDescent="0.2">
      <c r="A676" s="1"/>
      <c r="B676" s="25"/>
      <c r="C676" s="16" t="s">
        <v>104</v>
      </c>
      <c r="D676" s="82" t="s">
        <v>93</v>
      </c>
      <c r="E676" s="74">
        <v>210210690</v>
      </c>
      <c r="F676" s="21" t="s">
        <v>225</v>
      </c>
      <c r="G676" s="98" t="s">
        <v>224</v>
      </c>
      <c r="H676" s="132">
        <f>5071.4+1364.8+1732.9</f>
        <v>8169.1</v>
      </c>
      <c r="I676" s="132">
        <f>5071.4+1364.8+2943.2</f>
        <v>9379.4</v>
      </c>
      <c r="J676" s="212">
        <f>5071.4+1364.8+4035.8</f>
        <v>10472</v>
      </c>
    </row>
    <row r="677" spans="1:10" ht="63.75" x14ac:dyDescent="0.2">
      <c r="A677" s="1"/>
      <c r="B677" s="25"/>
      <c r="C677" s="16" t="s">
        <v>104</v>
      </c>
      <c r="D677" s="82" t="s">
        <v>93</v>
      </c>
      <c r="E677" s="74" t="s">
        <v>440</v>
      </c>
      <c r="F677" s="82"/>
      <c r="G677" s="98" t="s">
        <v>315</v>
      </c>
      <c r="H677" s="39">
        <f>SUM(H678:H678)</f>
        <v>71.400000000000006</v>
      </c>
      <c r="I677" s="39">
        <f>SUM(I678:I678)</f>
        <v>163.69999999999999</v>
      </c>
      <c r="J677" s="39">
        <f>SUM(J678:J678)</f>
        <v>197.7</v>
      </c>
    </row>
    <row r="678" spans="1:10" x14ac:dyDescent="0.2">
      <c r="A678" s="1"/>
      <c r="B678" s="25"/>
      <c r="C678" s="82" t="s">
        <v>104</v>
      </c>
      <c r="D678" s="82" t="s">
        <v>93</v>
      </c>
      <c r="E678" s="74" t="s">
        <v>440</v>
      </c>
      <c r="F678" s="21" t="s">
        <v>225</v>
      </c>
      <c r="G678" s="98" t="s">
        <v>224</v>
      </c>
      <c r="H678" s="39">
        <f>51.2+20.2</f>
        <v>71.400000000000006</v>
      </c>
      <c r="I678" s="39">
        <f>51.2+20.2+92.3</f>
        <v>163.69999999999999</v>
      </c>
      <c r="J678" s="39">
        <f>51.2+20.2+126.3</f>
        <v>197.7</v>
      </c>
    </row>
    <row r="679" spans="1:10" s="211" customFormat="1" ht="63.75" x14ac:dyDescent="0.2">
      <c r="A679" s="1"/>
      <c r="B679" s="25"/>
      <c r="C679" s="16" t="s">
        <v>104</v>
      </c>
      <c r="D679" s="82" t="s">
        <v>93</v>
      </c>
      <c r="E679" s="74">
        <v>210211390</v>
      </c>
      <c r="F679" s="206"/>
      <c r="G679" s="207" t="s">
        <v>820</v>
      </c>
      <c r="H679" s="208">
        <f>H680</f>
        <v>44.5</v>
      </c>
      <c r="I679" s="39">
        <f t="shared" ref="I679:J679" si="253">I680</f>
        <v>0</v>
      </c>
      <c r="J679" s="39">
        <f t="shared" si="253"/>
        <v>0</v>
      </c>
    </row>
    <row r="680" spans="1:10" s="211" customFormat="1" x14ac:dyDescent="0.2">
      <c r="A680" s="1"/>
      <c r="B680" s="25"/>
      <c r="C680" s="82" t="s">
        <v>104</v>
      </c>
      <c r="D680" s="82" t="s">
        <v>93</v>
      </c>
      <c r="E680" s="74">
        <v>210211390</v>
      </c>
      <c r="F680" s="21" t="s">
        <v>225</v>
      </c>
      <c r="G680" s="209" t="s">
        <v>224</v>
      </c>
      <c r="H680" s="39">
        <v>44.5</v>
      </c>
      <c r="I680" s="39">
        <v>0</v>
      </c>
      <c r="J680" s="39">
        <v>0</v>
      </c>
    </row>
    <row r="681" spans="1:10" s="211" customFormat="1" ht="76.5" x14ac:dyDescent="0.2">
      <c r="A681" s="1"/>
      <c r="B681" s="25"/>
      <c r="C681" s="16" t="s">
        <v>104</v>
      </c>
      <c r="D681" s="82" t="s">
        <v>93</v>
      </c>
      <c r="E681" s="74" t="s">
        <v>821</v>
      </c>
      <c r="F681" s="21"/>
      <c r="G681" s="108" t="s">
        <v>822</v>
      </c>
      <c r="H681" s="39">
        <f>H682</f>
        <v>0.4</v>
      </c>
      <c r="I681" s="39">
        <f t="shared" ref="I681:J681" si="254">I682</f>
        <v>0</v>
      </c>
      <c r="J681" s="39">
        <f t="shared" si="254"/>
        <v>0</v>
      </c>
    </row>
    <row r="682" spans="1:10" s="211" customFormat="1" x14ac:dyDescent="0.2">
      <c r="A682" s="1"/>
      <c r="B682" s="25"/>
      <c r="C682" s="82" t="s">
        <v>104</v>
      </c>
      <c r="D682" s="82" t="s">
        <v>93</v>
      </c>
      <c r="E682" s="74" t="s">
        <v>821</v>
      </c>
      <c r="F682" s="21" t="s">
        <v>225</v>
      </c>
      <c r="G682" s="98" t="s">
        <v>224</v>
      </c>
      <c r="H682" s="39">
        <v>0.4</v>
      </c>
      <c r="I682" s="39">
        <v>0</v>
      </c>
      <c r="J682" s="39">
        <v>0</v>
      </c>
    </row>
    <row r="683" spans="1:10" ht="76.5" x14ac:dyDescent="0.2">
      <c r="A683" s="1"/>
      <c r="B683" s="25"/>
      <c r="C683" s="16" t="s">
        <v>104</v>
      </c>
      <c r="D683" s="82" t="s">
        <v>93</v>
      </c>
      <c r="E683" s="21" t="s">
        <v>717</v>
      </c>
      <c r="F683" s="35"/>
      <c r="G683" s="98" t="s">
        <v>718</v>
      </c>
      <c r="H683" s="41">
        <f>H684</f>
        <v>420.3</v>
      </c>
      <c r="I683" s="41">
        <f t="shared" ref="I683:J683" si="255">I684+I686</f>
        <v>0</v>
      </c>
      <c r="J683" s="41">
        <f t="shared" si="255"/>
        <v>0</v>
      </c>
    </row>
    <row r="684" spans="1:10" ht="63.75" x14ac:dyDescent="0.2">
      <c r="A684" s="1"/>
      <c r="B684" s="25"/>
      <c r="C684" s="16" t="s">
        <v>104</v>
      </c>
      <c r="D684" s="82" t="s">
        <v>93</v>
      </c>
      <c r="E684" s="133" t="s">
        <v>719</v>
      </c>
      <c r="F684" s="21"/>
      <c r="G684" s="124" t="s">
        <v>720</v>
      </c>
      <c r="H684" s="39">
        <f>H685</f>
        <v>420.3</v>
      </c>
      <c r="I684" s="39">
        <f t="shared" ref="I684:J684" si="256">I685</f>
        <v>0</v>
      </c>
      <c r="J684" s="39">
        <f t="shared" si="256"/>
        <v>0</v>
      </c>
    </row>
    <row r="685" spans="1:10" x14ac:dyDescent="0.2">
      <c r="A685" s="1"/>
      <c r="B685" s="25"/>
      <c r="C685" s="16" t="s">
        <v>104</v>
      </c>
      <c r="D685" s="82" t="s">
        <v>93</v>
      </c>
      <c r="E685" s="133" t="s">
        <v>719</v>
      </c>
      <c r="F685" s="21" t="s">
        <v>225</v>
      </c>
      <c r="G685" s="98" t="s">
        <v>224</v>
      </c>
      <c r="H685" s="39">
        <v>420.3</v>
      </c>
      <c r="I685" s="39">
        <v>0</v>
      </c>
      <c r="J685" s="39">
        <v>0</v>
      </c>
    </row>
    <row r="686" spans="1:10" ht="38.25" x14ac:dyDescent="0.2">
      <c r="A686" s="1"/>
      <c r="B686" s="25"/>
      <c r="C686" s="82" t="s">
        <v>104</v>
      </c>
      <c r="D686" s="82" t="s">
        <v>93</v>
      </c>
      <c r="E686" s="82" t="s">
        <v>24</v>
      </c>
      <c r="F686" s="82"/>
      <c r="G686" s="99" t="s">
        <v>38</v>
      </c>
      <c r="H686" s="41">
        <f>H687</f>
        <v>100</v>
      </c>
      <c r="I686" s="41">
        <f t="shared" ref="I686:J686" si="257">I687</f>
        <v>0</v>
      </c>
      <c r="J686" s="41">
        <f t="shared" si="257"/>
        <v>0</v>
      </c>
    </row>
    <row r="687" spans="1:10" ht="51" x14ac:dyDescent="0.2">
      <c r="A687" s="1"/>
      <c r="B687" s="25"/>
      <c r="C687" s="16" t="s">
        <v>104</v>
      </c>
      <c r="D687" s="82" t="s">
        <v>93</v>
      </c>
      <c r="E687" s="82" t="s">
        <v>568</v>
      </c>
      <c r="F687" s="16"/>
      <c r="G687" s="54" t="s">
        <v>566</v>
      </c>
      <c r="H687" s="41">
        <f>SUM(H688:H688)</f>
        <v>100</v>
      </c>
      <c r="I687" s="41">
        <f>SUM(I688:I688)</f>
        <v>0</v>
      </c>
      <c r="J687" s="41">
        <f>SUM(J688:J688)</f>
        <v>0</v>
      </c>
    </row>
    <row r="688" spans="1:10" x14ac:dyDescent="0.2">
      <c r="A688" s="1"/>
      <c r="B688" s="25"/>
      <c r="C688" s="16" t="s">
        <v>104</v>
      </c>
      <c r="D688" s="82" t="s">
        <v>93</v>
      </c>
      <c r="E688" s="82" t="s">
        <v>568</v>
      </c>
      <c r="F688" s="21" t="s">
        <v>225</v>
      </c>
      <c r="G688" s="98" t="s">
        <v>224</v>
      </c>
      <c r="H688" s="39">
        <v>100</v>
      </c>
      <c r="I688" s="39">
        <v>0</v>
      </c>
      <c r="J688" s="39">
        <v>0</v>
      </c>
    </row>
    <row r="689" spans="1:10" s="37" customFormat="1" ht="14.25" x14ac:dyDescent="0.2">
      <c r="A689" s="27"/>
      <c r="B689" s="70"/>
      <c r="C689" s="35" t="s">
        <v>104</v>
      </c>
      <c r="D689" s="35" t="s">
        <v>104</v>
      </c>
      <c r="E689" s="35"/>
      <c r="F689" s="35"/>
      <c r="G689" s="46" t="s">
        <v>155</v>
      </c>
      <c r="H689" s="42">
        <f>H690+H709</f>
        <v>12345</v>
      </c>
      <c r="I689" s="42">
        <f t="shared" ref="I689:J689" si="258">I690+I709</f>
        <v>7727.4</v>
      </c>
      <c r="J689" s="42">
        <f t="shared" si="258"/>
        <v>7727.4</v>
      </c>
    </row>
    <row r="690" spans="1:10" s="37" customFormat="1" ht="90" x14ac:dyDescent="0.25">
      <c r="A690" s="27"/>
      <c r="B690" s="70"/>
      <c r="C690" s="16" t="s">
        <v>104</v>
      </c>
      <c r="D690" s="16" t="s">
        <v>104</v>
      </c>
      <c r="E690" s="73" t="s">
        <v>59</v>
      </c>
      <c r="F690" s="35"/>
      <c r="G690" s="53" t="s">
        <v>572</v>
      </c>
      <c r="H690" s="65">
        <f>H691</f>
        <v>12265</v>
      </c>
      <c r="I690" s="65">
        <f t="shared" ref="I690:J690" si="259">I691</f>
        <v>7677.4</v>
      </c>
      <c r="J690" s="65">
        <f t="shared" si="259"/>
        <v>7677.4</v>
      </c>
    </row>
    <row r="691" spans="1:10" ht="25.5" x14ac:dyDescent="0.2">
      <c r="A691" s="1"/>
      <c r="B691" s="25"/>
      <c r="C691" s="16" t="s">
        <v>104</v>
      </c>
      <c r="D691" s="16" t="s">
        <v>104</v>
      </c>
      <c r="E691" s="52" t="s">
        <v>30</v>
      </c>
      <c r="F691" s="21"/>
      <c r="G691" s="48" t="s">
        <v>177</v>
      </c>
      <c r="H691" s="41">
        <f>H692+H701+H704</f>
        <v>12265</v>
      </c>
      <c r="I691" s="41">
        <f t="shared" ref="I691:J691" si="260">I692+I701+I704</f>
        <v>7677.4</v>
      </c>
      <c r="J691" s="41">
        <f t="shared" si="260"/>
        <v>7677.4</v>
      </c>
    </row>
    <row r="692" spans="1:10" ht="38.25" x14ac:dyDescent="0.2">
      <c r="A692" s="1"/>
      <c r="B692" s="25"/>
      <c r="C692" s="16" t="s">
        <v>104</v>
      </c>
      <c r="D692" s="16" t="s">
        <v>104</v>
      </c>
      <c r="E692" s="21" t="s">
        <v>209</v>
      </c>
      <c r="F692" s="16"/>
      <c r="G692" s="101" t="s">
        <v>308</v>
      </c>
      <c r="H692" s="41">
        <f>H693+H695+H697+H699</f>
        <v>361.20000000000005</v>
      </c>
      <c r="I692" s="41">
        <f>I693+I695+I697+I699</f>
        <v>361.20000000000005</v>
      </c>
      <c r="J692" s="41">
        <f>J693+J695+J697+J699</f>
        <v>361.20000000000005</v>
      </c>
    </row>
    <row r="693" spans="1:10" ht="51" x14ac:dyDescent="0.2">
      <c r="A693" s="1"/>
      <c r="B693" s="25"/>
      <c r="C693" s="16" t="s">
        <v>104</v>
      </c>
      <c r="D693" s="16" t="s">
        <v>104</v>
      </c>
      <c r="E693" s="135" t="s">
        <v>450</v>
      </c>
      <c r="F693" s="16"/>
      <c r="G693" s="100" t="s">
        <v>206</v>
      </c>
      <c r="H693" s="39">
        <f>H694</f>
        <v>6.6</v>
      </c>
      <c r="I693" s="39">
        <f>I694</f>
        <v>6.6</v>
      </c>
      <c r="J693" s="39">
        <f>J694</f>
        <v>6.6</v>
      </c>
    </row>
    <row r="694" spans="1:10" ht="38.25" x14ac:dyDescent="0.2">
      <c r="A694" s="1"/>
      <c r="B694" s="25"/>
      <c r="C694" s="16" t="s">
        <v>104</v>
      </c>
      <c r="D694" s="16" t="s">
        <v>104</v>
      </c>
      <c r="E694" s="135" t="s">
        <v>450</v>
      </c>
      <c r="F694" s="82" t="s">
        <v>211</v>
      </c>
      <c r="G694" s="98" t="s">
        <v>212</v>
      </c>
      <c r="H694" s="41">
        <v>6.6</v>
      </c>
      <c r="I694" s="41">
        <v>6.6</v>
      </c>
      <c r="J694" s="41">
        <v>6.6</v>
      </c>
    </row>
    <row r="695" spans="1:10" ht="25.5" x14ac:dyDescent="0.2">
      <c r="A695" s="1"/>
      <c r="B695" s="25"/>
      <c r="C695" s="16" t="s">
        <v>104</v>
      </c>
      <c r="D695" s="16" t="s">
        <v>104</v>
      </c>
      <c r="E695" s="135" t="s">
        <v>451</v>
      </c>
      <c r="F695" s="16"/>
      <c r="G695" s="98" t="s">
        <v>178</v>
      </c>
      <c r="H695" s="41">
        <f>H696</f>
        <v>289.60000000000002</v>
      </c>
      <c r="I695" s="41">
        <f>I696</f>
        <v>289.60000000000002</v>
      </c>
      <c r="J695" s="41">
        <f>J696</f>
        <v>289.60000000000002</v>
      </c>
    </row>
    <row r="696" spans="1:10" ht="38.25" x14ac:dyDescent="0.2">
      <c r="A696" s="1"/>
      <c r="B696" s="25"/>
      <c r="C696" s="16" t="s">
        <v>104</v>
      </c>
      <c r="D696" s="16" t="s">
        <v>104</v>
      </c>
      <c r="E696" s="135" t="s">
        <v>451</v>
      </c>
      <c r="F696" s="82" t="s">
        <v>211</v>
      </c>
      <c r="G696" s="98" t="s">
        <v>212</v>
      </c>
      <c r="H696" s="41">
        <v>289.60000000000002</v>
      </c>
      <c r="I696" s="41">
        <v>289.60000000000002</v>
      </c>
      <c r="J696" s="41">
        <v>289.60000000000002</v>
      </c>
    </row>
    <row r="697" spans="1:10" ht="63.75" x14ac:dyDescent="0.2">
      <c r="A697" s="1"/>
      <c r="B697" s="25"/>
      <c r="C697" s="16" t="s">
        <v>104</v>
      </c>
      <c r="D697" s="16" t="s">
        <v>104</v>
      </c>
      <c r="E697" s="135" t="s">
        <v>452</v>
      </c>
      <c r="F697" s="16"/>
      <c r="G697" s="98" t="s">
        <v>77</v>
      </c>
      <c r="H697" s="41">
        <f>H698</f>
        <v>15</v>
      </c>
      <c r="I697" s="41">
        <f>I698</f>
        <v>15</v>
      </c>
      <c r="J697" s="41">
        <f>J698</f>
        <v>15</v>
      </c>
    </row>
    <row r="698" spans="1:10" ht="38.25" x14ac:dyDescent="0.2">
      <c r="A698" s="1"/>
      <c r="B698" s="25"/>
      <c r="C698" s="16" t="s">
        <v>104</v>
      </c>
      <c r="D698" s="16" t="s">
        <v>104</v>
      </c>
      <c r="E698" s="135" t="s">
        <v>452</v>
      </c>
      <c r="F698" s="82" t="s">
        <v>211</v>
      </c>
      <c r="G698" s="98" t="s">
        <v>212</v>
      </c>
      <c r="H698" s="41">
        <v>15</v>
      </c>
      <c r="I698" s="41">
        <v>15</v>
      </c>
      <c r="J698" s="41">
        <v>15</v>
      </c>
    </row>
    <row r="699" spans="1:10" x14ac:dyDescent="0.2">
      <c r="A699" s="1"/>
      <c r="B699" s="25"/>
      <c r="C699" s="16" t="s">
        <v>104</v>
      </c>
      <c r="D699" s="16" t="s">
        <v>104</v>
      </c>
      <c r="E699" s="135" t="s">
        <v>453</v>
      </c>
      <c r="F699" s="82"/>
      <c r="G699" s="54" t="s">
        <v>374</v>
      </c>
      <c r="H699" s="41">
        <f>H700</f>
        <v>50</v>
      </c>
      <c r="I699" s="41">
        <f>I700</f>
        <v>50</v>
      </c>
      <c r="J699" s="41">
        <f>J700</f>
        <v>50</v>
      </c>
    </row>
    <row r="700" spans="1:10" ht="38.25" x14ac:dyDescent="0.2">
      <c r="A700" s="1"/>
      <c r="B700" s="25"/>
      <c r="C700" s="16" t="s">
        <v>104</v>
      </c>
      <c r="D700" s="16" t="s">
        <v>104</v>
      </c>
      <c r="E700" s="135" t="s">
        <v>453</v>
      </c>
      <c r="F700" s="82" t="s">
        <v>211</v>
      </c>
      <c r="G700" s="98" t="s">
        <v>212</v>
      </c>
      <c r="H700" s="41">
        <v>50</v>
      </c>
      <c r="I700" s="41">
        <v>50</v>
      </c>
      <c r="J700" s="41">
        <v>50</v>
      </c>
    </row>
    <row r="701" spans="1:10" ht="76.5" x14ac:dyDescent="0.2">
      <c r="A701" s="1"/>
      <c r="B701" s="25"/>
      <c r="C701" s="16" t="s">
        <v>104</v>
      </c>
      <c r="D701" s="16" t="s">
        <v>104</v>
      </c>
      <c r="E701" s="21" t="s">
        <v>258</v>
      </c>
      <c r="F701" s="16"/>
      <c r="G701" s="101" t="s">
        <v>259</v>
      </c>
      <c r="H701" s="41">
        <f t="shared" ref="H701:J702" si="261">H702</f>
        <v>11039.8</v>
      </c>
      <c r="I701" s="41">
        <f t="shared" si="261"/>
        <v>7316.2</v>
      </c>
      <c r="J701" s="41">
        <f t="shared" si="261"/>
        <v>7316.2</v>
      </c>
    </row>
    <row r="702" spans="1:10" ht="41.25" customHeight="1" x14ac:dyDescent="0.2">
      <c r="A702" s="1"/>
      <c r="B702" s="25"/>
      <c r="C702" s="16" t="s">
        <v>104</v>
      </c>
      <c r="D702" s="16" t="s">
        <v>104</v>
      </c>
      <c r="E702" s="74">
        <v>230221100</v>
      </c>
      <c r="F702" s="16"/>
      <c r="G702" s="98" t="s">
        <v>0</v>
      </c>
      <c r="H702" s="41">
        <f t="shared" si="261"/>
        <v>11039.8</v>
      </c>
      <c r="I702" s="41">
        <f t="shared" si="261"/>
        <v>7316.2</v>
      </c>
      <c r="J702" s="41">
        <f t="shared" si="261"/>
        <v>7316.2</v>
      </c>
    </row>
    <row r="703" spans="1:10" x14ac:dyDescent="0.2">
      <c r="A703" s="1"/>
      <c r="B703" s="25"/>
      <c r="C703" s="16" t="s">
        <v>104</v>
      </c>
      <c r="D703" s="16" t="s">
        <v>104</v>
      </c>
      <c r="E703" s="74">
        <v>230221100</v>
      </c>
      <c r="F703" s="82" t="s">
        <v>225</v>
      </c>
      <c r="G703" s="98" t="s">
        <v>224</v>
      </c>
      <c r="H703" s="41">
        <f>10339.8+700</f>
        <v>11039.8</v>
      </c>
      <c r="I703" s="41">
        <v>7316.2</v>
      </c>
      <c r="J703" s="41">
        <v>7316.2</v>
      </c>
    </row>
    <row r="704" spans="1:10" ht="63.75" x14ac:dyDescent="0.2">
      <c r="A704" s="1"/>
      <c r="B704" s="25"/>
      <c r="C704" s="16" t="s">
        <v>104</v>
      </c>
      <c r="D704" s="16" t="s">
        <v>104</v>
      </c>
      <c r="E704" s="21" t="s">
        <v>456</v>
      </c>
      <c r="F704" s="82"/>
      <c r="G704" s="98" t="s">
        <v>455</v>
      </c>
      <c r="H704" s="41">
        <f>H705+H707</f>
        <v>864</v>
      </c>
      <c r="I704" s="41">
        <f t="shared" ref="I704:J704" si="262">I705+I707</f>
        <v>0</v>
      </c>
      <c r="J704" s="41">
        <f t="shared" si="262"/>
        <v>0</v>
      </c>
    </row>
    <row r="705" spans="1:10" ht="56.25" customHeight="1" x14ac:dyDescent="0.2">
      <c r="A705" s="1"/>
      <c r="B705" s="25"/>
      <c r="C705" s="16" t="s">
        <v>104</v>
      </c>
      <c r="D705" s="16" t="s">
        <v>104</v>
      </c>
      <c r="E705" s="74">
        <v>230321210</v>
      </c>
      <c r="F705" s="82"/>
      <c r="G705" s="98" t="s">
        <v>454</v>
      </c>
      <c r="H705" s="41">
        <f t="shared" ref="H705:J705" si="263">H706</f>
        <v>90</v>
      </c>
      <c r="I705" s="41">
        <f t="shared" si="263"/>
        <v>0</v>
      </c>
      <c r="J705" s="41">
        <f t="shared" si="263"/>
        <v>0</v>
      </c>
    </row>
    <row r="706" spans="1:10" x14ac:dyDescent="0.2">
      <c r="A706" s="1"/>
      <c r="B706" s="25"/>
      <c r="C706" s="82" t="s">
        <v>104</v>
      </c>
      <c r="D706" s="82" t="s">
        <v>104</v>
      </c>
      <c r="E706" s="74">
        <v>230321210</v>
      </c>
      <c r="F706" s="21" t="s">
        <v>225</v>
      </c>
      <c r="G706" s="98" t="s">
        <v>224</v>
      </c>
      <c r="H706" s="41">
        <v>90</v>
      </c>
      <c r="I706" s="41">
        <v>0</v>
      </c>
      <c r="J706" s="41">
        <v>0</v>
      </c>
    </row>
    <row r="707" spans="1:10" ht="51" x14ac:dyDescent="0.2">
      <c r="A707" s="1"/>
      <c r="B707" s="25"/>
      <c r="C707" s="16" t="s">
        <v>104</v>
      </c>
      <c r="D707" s="16" t="s">
        <v>104</v>
      </c>
      <c r="E707" s="74">
        <v>230321220</v>
      </c>
      <c r="F707" s="21"/>
      <c r="G707" s="98" t="s">
        <v>679</v>
      </c>
      <c r="H707" s="41">
        <f>H708</f>
        <v>774</v>
      </c>
      <c r="I707" s="41">
        <f t="shared" ref="I707:J707" si="264">I708</f>
        <v>0</v>
      </c>
      <c r="J707" s="41">
        <f t="shared" si="264"/>
        <v>0</v>
      </c>
    </row>
    <row r="708" spans="1:10" x14ac:dyDescent="0.2">
      <c r="A708" s="1"/>
      <c r="B708" s="25"/>
      <c r="C708" s="82" t="s">
        <v>104</v>
      </c>
      <c r="D708" s="82" t="s">
        <v>104</v>
      </c>
      <c r="E708" s="74">
        <v>230321220</v>
      </c>
      <c r="F708" s="21" t="s">
        <v>225</v>
      </c>
      <c r="G708" s="98" t="s">
        <v>224</v>
      </c>
      <c r="H708" s="41">
        <f>474+300</f>
        <v>774</v>
      </c>
      <c r="I708" s="41">
        <v>0</v>
      </c>
      <c r="J708" s="41">
        <v>0</v>
      </c>
    </row>
    <row r="709" spans="1:10" ht="89.25" x14ac:dyDescent="0.2">
      <c r="A709" s="1"/>
      <c r="B709" s="25"/>
      <c r="C709" s="5" t="s">
        <v>104</v>
      </c>
      <c r="D709" s="5" t="s">
        <v>104</v>
      </c>
      <c r="E709" s="73" t="s">
        <v>71</v>
      </c>
      <c r="F709" s="82"/>
      <c r="G709" s="53" t="s">
        <v>582</v>
      </c>
      <c r="H709" s="96">
        <f>H710+H716</f>
        <v>80</v>
      </c>
      <c r="I709" s="96">
        <f t="shared" ref="I709:J710" si="265">I710</f>
        <v>50</v>
      </c>
      <c r="J709" s="96">
        <f t="shared" si="265"/>
        <v>50</v>
      </c>
    </row>
    <row r="710" spans="1:10" ht="76.5" x14ac:dyDescent="0.2">
      <c r="A710" s="1"/>
      <c r="B710" s="25"/>
      <c r="C710" s="47" t="s">
        <v>104</v>
      </c>
      <c r="D710" s="47" t="s">
        <v>104</v>
      </c>
      <c r="E710" s="52" t="s">
        <v>514</v>
      </c>
      <c r="F710" s="16"/>
      <c r="G710" s="48" t="s">
        <v>179</v>
      </c>
      <c r="H710" s="93">
        <f>H711</f>
        <v>40</v>
      </c>
      <c r="I710" s="93">
        <f t="shared" si="265"/>
        <v>50</v>
      </c>
      <c r="J710" s="93">
        <f t="shared" si="265"/>
        <v>50</v>
      </c>
    </row>
    <row r="711" spans="1:10" ht="51" x14ac:dyDescent="0.2">
      <c r="A711" s="1"/>
      <c r="B711" s="25"/>
      <c r="C711" s="16" t="s">
        <v>104</v>
      </c>
      <c r="D711" s="16" t="s">
        <v>104</v>
      </c>
      <c r="E711" s="21" t="s">
        <v>515</v>
      </c>
      <c r="F711" s="16"/>
      <c r="G711" s="99" t="s">
        <v>312</v>
      </c>
      <c r="H711" s="39">
        <f>H712+H714</f>
        <v>40</v>
      </c>
      <c r="I711" s="39">
        <f>I712+I714</f>
        <v>50</v>
      </c>
      <c r="J711" s="39">
        <f>J712+J714</f>
        <v>50</v>
      </c>
    </row>
    <row r="712" spans="1:10" ht="102" x14ac:dyDescent="0.2">
      <c r="A712" s="1"/>
      <c r="B712" s="25"/>
      <c r="C712" s="16" t="s">
        <v>104</v>
      </c>
      <c r="D712" s="16" t="s">
        <v>104</v>
      </c>
      <c r="E712" s="74">
        <v>1020123085</v>
      </c>
      <c r="F712" s="16"/>
      <c r="G712" s="98" t="s">
        <v>180</v>
      </c>
      <c r="H712" s="41">
        <f>H713</f>
        <v>5</v>
      </c>
      <c r="I712" s="41">
        <f>I713</f>
        <v>5</v>
      </c>
      <c r="J712" s="41">
        <f>J713</f>
        <v>5</v>
      </c>
    </row>
    <row r="713" spans="1:10" ht="38.25" x14ac:dyDescent="0.2">
      <c r="A713" s="1"/>
      <c r="B713" s="25"/>
      <c r="C713" s="16" t="s">
        <v>104</v>
      </c>
      <c r="D713" s="16" t="s">
        <v>104</v>
      </c>
      <c r="E713" s="74">
        <v>1020123085</v>
      </c>
      <c r="F713" s="82" t="s">
        <v>211</v>
      </c>
      <c r="G713" s="98" t="s">
        <v>212</v>
      </c>
      <c r="H713" s="41">
        <v>5</v>
      </c>
      <c r="I713" s="41">
        <v>5</v>
      </c>
      <c r="J713" s="41">
        <v>5</v>
      </c>
    </row>
    <row r="714" spans="1:10" x14ac:dyDescent="0.2">
      <c r="A714" s="1"/>
      <c r="B714" s="25"/>
      <c r="C714" s="16" t="s">
        <v>104</v>
      </c>
      <c r="D714" s="16" t="s">
        <v>104</v>
      </c>
      <c r="E714" s="74">
        <v>1020123086</v>
      </c>
      <c r="F714" s="16"/>
      <c r="G714" s="98" t="s">
        <v>181</v>
      </c>
      <c r="H714" s="41">
        <f>H715</f>
        <v>35</v>
      </c>
      <c r="I714" s="41">
        <f>I715</f>
        <v>45</v>
      </c>
      <c r="J714" s="41">
        <f>J715</f>
        <v>45</v>
      </c>
    </row>
    <row r="715" spans="1:10" ht="38.25" x14ac:dyDescent="0.2">
      <c r="A715" s="1"/>
      <c r="B715" s="25"/>
      <c r="C715" s="16" t="s">
        <v>104</v>
      </c>
      <c r="D715" s="16" t="s">
        <v>104</v>
      </c>
      <c r="E715" s="74">
        <v>1020123086</v>
      </c>
      <c r="F715" s="82" t="s">
        <v>211</v>
      </c>
      <c r="G715" s="98" t="s">
        <v>212</v>
      </c>
      <c r="H715" s="41">
        <v>35</v>
      </c>
      <c r="I715" s="41">
        <v>45</v>
      </c>
      <c r="J715" s="41">
        <v>45</v>
      </c>
    </row>
    <row r="716" spans="1:10" ht="51" x14ac:dyDescent="0.2">
      <c r="A716" s="1"/>
      <c r="B716" s="25"/>
      <c r="C716" s="47" t="s">
        <v>104</v>
      </c>
      <c r="D716" s="47" t="s">
        <v>104</v>
      </c>
      <c r="E716" s="52" t="s">
        <v>613</v>
      </c>
      <c r="F716" s="82"/>
      <c r="G716" s="60" t="s">
        <v>631</v>
      </c>
      <c r="H716" s="93">
        <f>H717</f>
        <v>40</v>
      </c>
      <c r="I716" s="93">
        <f t="shared" ref="I716:J717" si="266">I717</f>
        <v>0</v>
      </c>
      <c r="J716" s="93">
        <f t="shared" si="266"/>
        <v>0</v>
      </c>
    </row>
    <row r="717" spans="1:10" ht="38.25" x14ac:dyDescent="0.2">
      <c r="A717" s="1"/>
      <c r="B717" s="25"/>
      <c r="C717" s="16" t="s">
        <v>104</v>
      </c>
      <c r="D717" s="16" t="s">
        <v>104</v>
      </c>
      <c r="E717" s="74">
        <v>1030300000</v>
      </c>
      <c r="F717" s="82"/>
      <c r="G717" s="98" t="s">
        <v>615</v>
      </c>
      <c r="H717" s="41">
        <f>H718</f>
        <v>40</v>
      </c>
      <c r="I717" s="41">
        <f t="shared" si="266"/>
        <v>0</v>
      </c>
      <c r="J717" s="41">
        <f t="shared" si="266"/>
        <v>0</v>
      </c>
    </row>
    <row r="718" spans="1:10" ht="38.25" x14ac:dyDescent="0.2">
      <c r="A718" s="1"/>
      <c r="B718" s="25"/>
      <c r="C718" s="16" t="s">
        <v>104</v>
      </c>
      <c r="D718" s="16" t="s">
        <v>104</v>
      </c>
      <c r="E718" s="74">
        <v>1030323090</v>
      </c>
      <c r="F718" s="82"/>
      <c r="G718" s="98" t="s">
        <v>614</v>
      </c>
      <c r="H718" s="41">
        <f>H719</f>
        <v>40</v>
      </c>
      <c r="I718" s="41">
        <f t="shared" ref="I718:J718" si="267">I719</f>
        <v>0</v>
      </c>
      <c r="J718" s="41">
        <f t="shared" si="267"/>
        <v>0</v>
      </c>
    </row>
    <row r="719" spans="1:10" ht="38.25" x14ac:dyDescent="0.2">
      <c r="A719" s="1"/>
      <c r="B719" s="25"/>
      <c r="C719" s="16" t="s">
        <v>104</v>
      </c>
      <c r="D719" s="16" t="s">
        <v>104</v>
      </c>
      <c r="E719" s="74">
        <v>1030323090</v>
      </c>
      <c r="F719" s="82" t="s">
        <v>211</v>
      </c>
      <c r="G719" s="98" t="s">
        <v>212</v>
      </c>
      <c r="H719" s="41">
        <v>40</v>
      </c>
      <c r="I719" s="41">
        <v>0</v>
      </c>
      <c r="J719" s="41">
        <v>0</v>
      </c>
    </row>
    <row r="720" spans="1:10" ht="15.75" x14ac:dyDescent="0.25">
      <c r="A720" s="3"/>
      <c r="B720" s="91"/>
      <c r="C720" s="4" t="s">
        <v>101</v>
      </c>
      <c r="D720" s="3"/>
      <c r="E720" s="3"/>
      <c r="F720" s="3"/>
      <c r="G720" s="49" t="s">
        <v>20</v>
      </c>
      <c r="H720" s="92">
        <f>H721+H757</f>
        <v>109818.4</v>
      </c>
      <c r="I720" s="92">
        <f>I721+I757</f>
        <v>96314.5</v>
      </c>
      <c r="J720" s="92">
        <f>J721+J757</f>
        <v>100585.9</v>
      </c>
    </row>
    <row r="721" spans="1:13" s="37" customFormat="1" ht="14.25" x14ac:dyDescent="0.2">
      <c r="A721" s="27"/>
      <c r="B721" s="70"/>
      <c r="C721" s="35" t="s">
        <v>101</v>
      </c>
      <c r="D721" s="35" t="s">
        <v>88</v>
      </c>
      <c r="E721" s="35"/>
      <c r="F721" s="35"/>
      <c r="G721" s="45" t="s">
        <v>106</v>
      </c>
      <c r="H721" s="42">
        <f>H722+H752</f>
        <v>105579.79999999999</v>
      </c>
      <c r="I721" s="42">
        <f>I722+I752</f>
        <v>92286</v>
      </c>
      <c r="J721" s="42">
        <f>J722+J752</f>
        <v>96557.4</v>
      </c>
    </row>
    <row r="722" spans="1:13" s="37" customFormat="1" ht="90" x14ac:dyDescent="0.25">
      <c r="A722" s="27"/>
      <c r="B722" s="70"/>
      <c r="C722" s="16" t="s">
        <v>101</v>
      </c>
      <c r="D722" s="16" t="s">
        <v>88</v>
      </c>
      <c r="E722" s="73" t="s">
        <v>59</v>
      </c>
      <c r="F722" s="35"/>
      <c r="G722" s="53" t="s">
        <v>572</v>
      </c>
      <c r="H722" s="65">
        <f t="shared" ref="H722:J722" si="268">H723</f>
        <v>105349.79999999999</v>
      </c>
      <c r="I722" s="65">
        <f t="shared" si="268"/>
        <v>92286</v>
      </c>
      <c r="J722" s="65">
        <f t="shared" si="268"/>
        <v>96557.4</v>
      </c>
    </row>
    <row r="723" spans="1:13" s="37" customFormat="1" ht="25.5" x14ac:dyDescent="0.2">
      <c r="A723" s="27"/>
      <c r="B723" s="70"/>
      <c r="C723" s="16" t="s">
        <v>101</v>
      </c>
      <c r="D723" s="16" t="s">
        <v>88</v>
      </c>
      <c r="E723" s="21" t="s">
        <v>60</v>
      </c>
      <c r="F723" s="35"/>
      <c r="G723" s="48" t="s">
        <v>171</v>
      </c>
      <c r="H723" s="58">
        <f>H724+H739+H746+H749</f>
        <v>105349.79999999999</v>
      </c>
      <c r="I723" s="58">
        <f>I724+I739+I746+I749</f>
        <v>92286</v>
      </c>
      <c r="J723" s="58">
        <f>J724+J739+J746+J749</f>
        <v>96557.4</v>
      </c>
    </row>
    <row r="724" spans="1:13" s="37" customFormat="1" ht="38.25" x14ac:dyDescent="0.2">
      <c r="A724" s="27"/>
      <c r="B724" s="70"/>
      <c r="C724" s="16" t="s">
        <v>101</v>
      </c>
      <c r="D724" s="16" t="s">
        <v>88</v>
      </c>
      <c r="E724" s="21" t="s">
        <v>208</v>
      </c>
      <c r="F724" s="35"/>
      <c r="G724" s="101" t="s">
        <v>213</v>
      </c>
      <c r="H724" s="94">
        <f>H725+H729+H731+H734+H737</f>
        <v>89326.699999999983</v>
      </c>
      <c r="I724" s="94">
        <f t="shared" ref="I724:J724" si="269">I725+I729+I731+I734+I737</f>
        <v>90190</v>
      </c>
      <c r="J724" s="94">
        <f t="shared" si="269"/>
        <v>96521.4</v>
      </c>
    </row>
    <row r="725" spans="1:13" ht="25.5" x14ac:dyDescent="0.2">
      <c r="A725" s="1"/>
      <c r="B725" s="25"/>
      <c r="C725" s="16" t="s">
        <v>101</v>
      </c>
      <c r="D725" s="16" t="s">
        <v>88</v>
      </c>
      <c r="E725" s="74">
        <v>210122900</v>
      </c>
      <c r="F725" s="16"/>
      <c r="G725" s="99" t="s">
        <v>170</v>
      </c>
      <c r="H725" s="39">
        <f>H726+H727+H728</f>
        <v>12386.8</v>
      </c>
      <c r="I725" s="39">
        <f t="shared" ref="I725:J725" si="270">I726+I727+I728</f>
        <v>11779.7</v>
      </c>
      <c r="J725" s="39">
        <f t="shared" si="270"/>
        <v>11744.7</v>
      </c>
    </row>
    <row r="726" spans="1:13" ht="25.5" x14ac:dyDescent="0.2">
      <c r="A726" s="1"/>
      <c r="B726" s="25"/>
      <c r="C726" s="16" t="s">
        <v>101</v>
      </c>
      <c r="D726" s="16" t="s">
        <v>88</v>
      </c>
      <c r="E726" s="74">
        <v>210122900</v>
      </c>
      <c r="F726" s="82" t="s">
        <v>64</v>
      </c>
      <c r="G726" s="55" t="s">
        <v>130</v>
      </c>
      <c r="H726" s="39">
        <f>5295.8-160.5-13.7-38.3</f>
        <v>5083.3</v>
      </c>
      <c r="I726" s="39">
        <f>5295.8-13.7-46.3</f>
        <v>5235.8</v>
      </c>
      <c r="J726" s="39">
        <f>5295.8-13.7-81.3</f>
        <v>5200.8</v>
      </c>
    </row>
    <row r="727" spans="1:13" ht="38.25" x14ac:dyDescent="0.2">
      <c r="A727" s="1"/>
      <c r="B727" s="25"/>
      <c r="C727" s="16" t="s">
        <v>101</v>
      </c>
      <c r="D727" s="16" t="s">
        <v>88</v>
      </c>
      <c r="E727" s="74">
        <v>210122900</v>
      </c>
      <c r="F727" s="82" t="s">
        <v>211</v>
      </c>
      <c r="G727" s="98" t="s">
        <v>212</v>
      </c>
      <c r="H727" s="39">
        <f>6543.9-13.4-1+612.5+1</f>
        <v>7143</v>
      </c>
      <c r="I727" s="39">
        <v>6543.9</v>
      </c>
      <c r="J727" s="39">
        <v>6543.9</v>
      </c>
    </row>
    <row r="728" spans="1:13" ht="38.25" x14ac:dyDescent="0.2">
      <c r="A728" s="1"/>
      <c r="B728" s="25"/>
      <c r="C728" s="16" t="s">
        <v>101</v>
      </c>
      <c r="D728" s="16" t="s">
        <v>88</v>
      </c>
      <c r="E728" s="74">
        <v>210122900</v>
      </c>
      <c r="F728" s="82" t="s">
        <v>260</v>
      </c>
      <c r="G728" s="98" t="s">
        <v>249</v>
      </c>
      <c r="H728" s="39">
        <v>160.5</v>
      </c>
      <c r="I728" s="39">
        <v>0</v>
      </c>
      <c r="J728" s="39">
        <v>0</v>
      </c>
    </row>
    <row r="729" spans="1:13" ht="51" x14ac:dyDescent="0.2">
      <c r="A729" s="1"/>
      <c r="B729" s="25"/>
      <c r="C729" s="16" t="s">
        <v>101</v>
      </c>
      <c r="D729" s="16" t="s">
        <v>88</v>
      </c>
      <c r="E729" s="74">
        <v>210121100</v>
      </c>
      <c r="F729" s="16"/>
      <c r="G729" s="99" t="s">
        <v>172</v>
      </c>
      <c r="H729" s="39">
        <f>H730</f>
        <v>34822.6</v>
      </c>
      <c r="I729" s="39">
        <f>I730</f>
        <v>31026.9</v>
      </c>
      <c r="J729" s="39">
        <f>J730</f>
        <v>32211.9</v>
      </c>
    </row>
    <row r="730" spans="1:13" x14ac:dyDescent="0.2">
      <c r="A730" s="1"/>
      <c r="B730" s="25"/>
      <c r="C730" s="16" t="s">
        <v>101</v>
      </c>
      <c r="D730" s="16" t="s">
        <v>88</v>
      </c>
      <c r="E730" s="74">
        <v>210121100</v>
      </c>
      <c r="F730" s="21" t="s">
        <v>225</v>
      </c>
      <c r="G730" s="98" t="s">
        <v>224</v>
      </c>
      <c r="H730" s="39">
        <f>34169.2+1174.4-1000-16.3+600-104.7</f>
        <v>34822.6</v>
      </c>
      <c r="I730" s="1">
        <f>31189.9-16.3-146.7</f>
        <v>31026.9</v>
      </c>
      <c r="J730" s="1">
        <f>32389.9-16.3-161.7</f>
        <v>32211.9</v>
      </c>
    </row>
    <row r="731" spans="1:13" ht="51" x14ac:dyDescent="0.2">
      <c r="A731" s="1"/>
      <c r="B731" s="25"/>
      <c r="C731" s="16" t="s">
        <v>101</v>
      </c>
      <c r="D731" s="16" t="s">
        <v>88</v>
      </c>
      <c r="E731" s="74" t="s">
        <v>438</v>
      </c>
      <c r="F731" s="82"/>
      <c r="G731" s="98" t="s">
        <v>313</v>
      </c>
      <c r="H731" s="39">
        <f>SUM(H732:H733)</f>
        <v>500</v>
      </c>
      <c r="I731" s="39">
        <f>SUM(I732:I733)</f>
        <v>550</v>
      </c>
      <c r="J731" s="39">
        <f>SUM(J732:J733)</f>
        <v>600</v>
      </c>
      <c r="M731" s="103"/>
    </row>
    <row r="732" spans="1:13" ht="25.5" x14ac:dyDescent="0.2">
      <c r="A732" s="1"/>
      <c r="B732" s="25"/>
      <c r="C732" s="16" t="s">
        <v>101</v>
      </c>
      <c r="D732" s="16" t="s">
        <v>88</v>
      </c>
      <c r="E732" s="74" t="s">
        <v>438</v>
      </c>
      <c r="F732" s="82" t="s">
        <v>64</v>
      </c>
      <c r="G732" s="55" t="s">
        <v>130</v>
      </c>
      <c r="H732" s="39">
        <f>95+13.7+38.3</f>
        <v>147</v>
      </c>
      <c r="I732" s="39">
        <f>95+13.7+46.3</f>
        <v>155</v>
      </c>
      <c r="J732" s="39">
        <f>95+13.7+81.3</f>
        <v>190</v>
      </c>
    </row>
    <row r="733" spans="1:13" x14ac:dyDescent="0.2">
      <c r="A733" s="1"/>
      <c r="B733" s="25"/>
      <c r="C733" s="16" t="s">
        <v>101</v>
      </c>
      <c r="D733" s="16" t="s">
        <v>88</v>
      </c>
      <c r="E733" s="74" t="s">
        <v>438</v>
      </c>
      <c r="F733" s="21" t="s">
        <v>225</v>
      </c>
      <c r="G733" s="98" t="s">
        <v>224</v>
      </c>
      <c r="H733" s="39">
        <f>232+16.3+104.7</f>
        <v>353</v>
      </c>
      <c r="I733" s="39">
        <f>232+16.3+146.7</f>
        <v>395</v>
      </c>
      <c r="J733" s="39">
        <f>232+16.3+161.7</f>
        <v>410</v>
      </c>
    </row>
    <row r="734" spans="1:13" ht="51" x14ac:dyDescent="0.2">
      <c r="A734" s="1"/>
      <c r="B734" s="25"/>
      <c r="C734" s="16" t="s">
        <v>101</v>
      </c>
      <c r="D734" s="16" t="s">
        <v>88</v>
      </c>
      <c r="E734" s="74">
        <v>210110680</v>
      </c>
      <c r="F734" s="82"/>
      <c r="G734" s="98" t="s">
        <v>351</v>
      </c>
      <c r="H734" s="39">
        <f>SUM(H735:H736)</f>
        <v>41503.899999999994</v>
      </c>
      <c r="I734" s="39">
        <f t="shared" ref="I734:J734" si="271">SUM(I735:I736)</f>
        <v>46833.399999999994</v>
      </c>
      <c r="J734" s="39">
        <f t="shared" si="271"/>
        <v>51964.799999999996</v>
      </c>
    </row>
    <row r="735" spans="1:13" ht="25.5" x14ac:dyDescent="0.2">
      <c r="A735" s="1"/>
      <c r="B735" s="25"/>
      <c r="C735" s="16" t="s">
        <v>101</v>
      </c>
      <c r="D735" s="16" t="s">
        <v>88</v>
      </c>
      <c r="E735" s="74">
        <v>210110680</v>
      </c>
      <c r="F735" s="82" t="s">
        <v>64</v>
      </c>
      <c r="G735" s="55" t="s">
        <v>130</v>
      </c>
      <c r="H735" s="39">
        <f>9388.4+1377.5+1680.1</f>
        <v>12446</v>
      </c>
      <c r="I735" s="39">
        <f>9388.4+1377.5+3278.1</f>
        <v>14044</v>
      </c>
      <c r="J735" s="39">
        <f>9388.4+1377.5+4817.2</f>
        <v>15583.099999999999</v>
      </c>
    </row>
    <row r="736" spans="1:13" x14ac:dyDescent="0.2">
      <c r="A736" s="1"/>
      <c r="B736" s="25"/>
      <c r="C736" s="16" t="s">
        <v>101</v>
      </c>
      <c r="D736" s="16" t="s">
        <v>88</v>
      </c>
      <c r="E736" s="74">
        <v>210110680</v>
      </c>
      <c r="F736" s="21" t="s">
        <v>225</v>
      </c>
      <c r="G736" s="98" t="s">
        <v>224</v>
      </c>
      <c r="H736" s="39">
        <f>22918.8+1651.8+4487.3</f>
        <v>29057.899999999998</v>
      </c>
      <c r="I736" s="39">
        <f>22918.8+1651.8+8218.8</f>
        <v>32789.399999999994</v>
      </c>
      <c r="J736" s="39">
        <f>22918.8+1651.8+11811.1</f>
        <v>36381.699999999997</v>
      </c>
    </row>
    <row r="737" spans="1:10" ht="79.5" customHeight="1" x14ac:dyDescent="0.2">
      <c r="A737" s="1"/>
      <c r="B737" s="25"/>
      <c r="C737" s="16" t="s">
        <v>101</v>
      </c>
      <c r="D737" s="16" t="s">
        <v>88</v>
      </c>
      <c r="E737" s="74" t="s">
        <v>744</v>
      </c>
      <c r="F737" s="21"/>
      <c r="G737" s="172" t="s">
        <v>745</v>
      </c>
      <c r="H737" s="39">
        <f>H738</f>
        <v>113.4</v>
      </c>
      <c r="I737" s="39">
        <v>0</v>
      </c>
      <c r="J737" s="39">
        <v>0</v>
      </c>
    </row>
    <row r="738" spans="1:10" ht="38.25" x14ac:dyDescent="0.2">
      <c r="A738" s="1"/>
      <c r="B738" s="25"/>
      <c r="C738" s="16" t="s">
        <v>101</v>
      </c>
      <c r="D738" s="16" t="s">
        <v>88</v>
      </c>
      <c r="E738" s="74" t="s">
        <v>744</v>
      </c>
      <c r="F738" s="21" t="s">
        <v>211</v>
      </c>
      <c r="G738" s="98" t="s">
        <v>212</v>
      </c>
      <c r="H738" s="39">
        <f>13.4+100</f>
        <v>113.4</v>
      </c>
      <c r="I738" s="39">
        <v>0</v>
      </c>
      <c r="J738" s="39">
        <v>0</v>
      </c>
    </row>
    <row r="739" spans="1:10" ht="51" x14ac:dyDescent="0.2">
      <c r="A739" s="1"/>
      <c r="B739" s="25"/>
      <c r="C739" s="16" t="s">
        <v>101</v>
      </c>
      <c r="D739" s="16" t="s">
        <v>88</v>
      </c>
      <c r="E739" s="21" t="s">
        <v>254</v>
      </c>
      <c r="F739" s="35"/>
      <c r="G739" s="98" t="s">
        <v>253</v>
      </c>
      <c r="H739" s="41">
        <f>H740+H742+H744</f>
        <v>3513.7999999999993</v>
      </c>
      <c r="I739" s="41">
        <f t="shared" ref="I739:J739" si="272">I740+I742+I744</f>
        <v>2095</v>
      </c>
      <c r="J739" s="41">
        <f t="shared" si="272"/>
        <v>35</v>
      </c>
    </row>
    <row r="740" spans="1:10" ht="51" x14ac:dyDescent="0.2">
      <c r="A740" s="1"/>
      <c r="B740" s="25"/>
      <c r="C740" s="16" t="s">
        <v>101</v>
      </c>
      <c r="D740" s="16" t="s">
        <v>88</v>
      </c>
      <c r="E740" s="125" t="s">
        <v>441</v>
      </c>
      <c r="F740" s="82"/>
      <c r="G740" s="130" t="s">
        <v>366</v>
      </c>
      <c r="H740" s="39">
        <f>H741</f>
        <v>192.1</v>
      </c>
      <c r="I740" s="39">
        <f>I741</f>
        <v>35</v>
      </c>
      <c r="J740" s="39">
        <f>J741</f>
        <v>35</v>
      </c>
    </row>
    <row r="741" spans="1:10" x14ac:dyDescent="0.2">
      <c r="A741" s="1"/>
      <c r="B741" s="25"/>
      <c r="C741" s="16" t="s">
        <v>101</v>
      </c>
      <c r="D741" s="16" t="s">
        <v>88</v>
      </c>
      <c r="E741" s="125" t="s">
        <v>441</v>
      </c>
      <c r="F741" s="21" t="s">
        <v>225</v>
      </c>
      <c r="G741" s="98" t="s">
        <v>224</v>
      </c>
      <c r="H741" s="39">
        <f>4+188.1</f>
        <v>192.1</v>
      </c>
      <c r="I741" s="39">
        <v>35</v>
      </c>
      <c r="J741" s="39">
        <v>35</v>
      </c>
    </row>
    <row r="742" spans="1:10" ht="42.75" customHeight="1" x14ac:dyDescent="0.2">
      <c r="A742" s="1"/>
      <c r="B742" s="25"/>
      <c r="C742" s="16" t="s">
        <v>101</v>
      </c>
      <c r="D742" s="16" t="s">
        <v>88</v>
      </c>
      <c r="E742" s="133" t="s">
        <v>721</v>
      </c>
      <c r="F742" s="21"/>
      <c r="G742" s="98" t="s">
        <v>722</v>
      </c>
      <c r="H742" s="39">
        <f>H743</f>
        <v>3121.6999999999994</v>
      </c>
      <c r="I742" s="39">
        <f>I743</f>
        <v>2060</v>
      </c>
      <c r="J742" s="39">
        <f>J743</f>
        <v>0</v>
      </c>
    </row>
    <row r="743" spans="1:10" x14ac:dyDescent="0.2">
      <c r="A743" s="1"/>
      <c r="B743" s="25"/>
      <c r="C743" s="16" t="s">
        <v>101</v>
      </c>
      <c r="D743" s="16" t="s">
        <v>88</v>
      </c>
      <c r="E743" s="133" t="s">
        <v>721</v>
      </c>
      <c r="F743" s="21" t="s">
        <v>225</v>
      </c>
      <c r="G743" s="98" t="s">
        <v>224</v>
      </c>
      <c r="H743" s="39">
        <f>192+2060.1+2929.7-2060.1</f>
        <v>3121.6999999999994</v>
      </c>
      <c r="I743" s="39">
        <v>2060</v>
      </c>
      <c r="J743" s="39">
        <v>0</v>
      </c>
    </row>
    <row r="744" spans="1:10" ht="38.25" x14ac:dyDescent="0.2">
      <c r="A744" s="1"/>
      <c r="B744" s="25"/>
      <c r="C744" s="16" t="s">
        <v>101</v>
      </c>
      <c r="D744" s="16" t="s">
        <v>88</v>
      </c>
      <c r="E744" s="162" t="s">
        <v>757</v>
      </c>
      <c r="F744" s="82"/>
      <c r="G744" s="124" t="s">
        <v>754</v>
      </c>
      <c r="H744" s="39">
        <f>H745</f>
        <v>200</v>
      </c>
      <c r="I744" s="39">
        <f t="shared" ref="I744:J744" si="273">I745</f>
        <v>0</v>
      </c>
      <c r="J744" s="39">
        <f t="shared" si="273"/>
        <v>0</v>
      </c>
    </row>
    <row r="745" spans="1:10" x14ac:dyDescent="0.2">
      <c r="A745" s="1"/>
      <c r="B745" s="25"/>
      <c r="C745" s="16" t="s">
        <v>101</v>
      </c>
      <c r="D745" s="16" t="s">
        <v>88</v>
      </c>
      <c r="E745" s="162" t="s">
        <v>757</v>
      </c>
      <c r="F745" s="21" t="s">
        <v>225</v>
      </c>
      <c r="G745" s="98" t="s">
        <v>224</v>
      </c>
      <c r="H745" s="39">
        <v>200</v>
      </c>
      <c r="I745" s="39">
        <v>0</v>
      </c>
      <c r="J745" s="39">
        <v>0</v>
      </c>
    </row>
    <row r="746" spans="1:10" ht="38.25" x14ac:dyDescent="0.2">
      <c r="A746" s="1"/>
      <c r="B746" s="25"/>
      <c r="C746" s="16" t="s">
        <v>101</v>
      </c>
      <c r="D746" s="16" t="s">
        <v>88</v>
      </c>
      <c r="E746" s="133" t="s">
        <v>669</v>
      </c>
      <c r="F746" s="21"/>
      <c r="G746" s="98" t="s">
        <v>670</v>
      </c>
      <c r="H746" s="39">
        <f>H747</f>
        <v>12509.300000000001</v>
      </c>
      <c r="I746" s="39">
        <f t="shared" ref="I746:J746" si="274">I747</f>
        <v>0</v>
      </c>
      <c r="J746" s="39">
        <f t="shared" si="274"/>
        <v>0</v>
      </c>
    </row>
    <row r="747" spans="1:10" ht="25.5" x14ac:dyDescent="0.2">
      <c r="A747" s="1"/>
      <c r="B747" s="25"/>
      <c r="C747" s="16" t="s">
        <v>101</v>
      </c>
      <c r="D747" s="16" t="s">
        <v>88</v>
      </c>
      <c r="E747" s="125" t="s">
        <v>671</v>
      </c>
      <c r="F747" s="21"/>
      <c r="G747" s="124" t="s">
        <v>672</v>
      </c>
      <c r="H747" s="39">
        <f>H748</f>
        <v>12509.300000000001</v>
      </c>
      <c r="I747" s="39">
        <f t="shared" ref="I747:J747" si="275">I748</f>
        <v>0</v>
      </c>
      <c r="J747" s="39">
        <f t="shared" si="275"/>
        <v>0</v>
      </c>
    </row>
    <row r="748" spans="1:10" x14ac:dyDescent="0.2">
      <c r="A748" s="1"/>
      <c r="B748" s="25"/>
      <c r="C748" s="16" t="s">
        <v>101</v>
      </c>
      <c r="D748" s="16" t="s">
        <v>88</v>
      </c>
      <c r="E748" s="125" t="s">
        <v>671</v>
      </c>
      <c r="F748" s="21" t="s">
        <v>225</v>
      </c>
      <c r="G748" s="98" t="s">
        <v>224</v>
      </c>
      <c r="H748" s="39">
        <f>125.1+12384.2</f>
        <v>12509.300000000001</v>
      </c>
      <c r="I748" s="39">
        <v>0</v>
      </c>
      <c r="J748" s="39">
        <v>0</v>
      </c>
    </row>
    <row r="749" spans="1:10" ht="38.25" x14ac:dyDescent="0.2">
      <c r="A749" s="1"/>
      <c r="B749" s="25"/>
      <c r="C749" s="16" t="s">
        <v>101</v>
      </c>
      <c r="D749" s="16" t="s">
        <v>88</v>
      </c>
      <c r="E749" s="133" t="s">
        <v>442</v>
      </c>
      <c r="F749" s="21"/>
      <c r="G749" s="98" t="s">
        <v>443</v>
      </c>
      <c r="H749" s="39">
        <f>H750</f>
        <v>0</v>
      </c>
      <c r="I749" s="39">
        <f t="shared" ref="I749:J749" si="276">I750</f>
        <v>1</v>
      </c>
      <c r="J749" s="39">
        <f t="shared" si="276"/>
        <v>1</v>
      </c>
    </row>
    <row r="750" spans="1:10" ht="63.75" x14ac:dyDescent="0.2">
      <c r="A750" s="1"/>
      <c r="B750" s="25"/>
      <c r="C750" s="16" t="s">
        <v>101</v>
      </c>
      <c r="D750" s="16" t="s">
        <v>88</v>
      </c>
      <c r="E750" s="133" t="s">
        <v>445</v>
      </c>
      <c r="F750" s="21"/>
      <c r="G750" s="98" t="s">
        <v>444</v>
      </c>
      <c r="H750" s="39">
        <f>H751</f>
        <v>0</v>
      </c>
      <c r="I750" s="39">
        <f>I751</f>
        <v>1</v>
      </c>
      <c r="J750" s="39">
        <f>J751</f>
        <v>1</v>
      </c>
    </row>
    <row r="751" spans="1:10" x14ac:dyDescent="0.2">
      <c r="A751" s="1"/>
      <c r="B751" s="25"/>
      <c r="C751" s="16" t="s">
        <v>101</v>
      </c>
      <c r="D751" s="16" t="s">
        <v>88</v>
      </c>
      <c r="E751" s="133" t="s">
        <v>445</v>
      </c>
      <c r="F751" s="21" t="s">
        <v>225</v>
      </c>
      <c r="G751" s="98" t="s">
        <v>224</v>
      </c>
      <c r="H751" s="39">
        <f>1-1</f>
        <v>0</v>
      </c>
      <c r="I751" s="39">
        <v>1</v>
      </c>
      <c r="J751" s="39">
        <v>1</v>
      </c>
    </row>
    <row r="752" spans="1:10" ht="38.25" x14ac:dyDescent="0.2">
      <c r="A752" s="1"/>
      <c r="B752" s="25"/>
      <c r="C752" s="16" t="s">
        <v>101</v>
      </c>
      <c r="D752" s="16" t="s">
        <v>88</v>
      </c>
      <c r="E752" s="82" t="s">
        <v>24</v>
      </c>
      <c r="F752" s="82"/>
      <c r="G752" s="99" t="s">
        <v>38</v>
      </c>
      <c r="H752" s="41">
        <f>H753+H755</f>
        <v>230</v>
      </c>
      <c r="I752" s="41">
        <f t="shared" ref="I752:J752" si="277">I753</f>
        <v>0</v>
      </c>
      <c r="J752" s="41">
        <f t="shared" si="277"/>
        <v>0</v>
      </c>
    </row>
    <row r="753" spans="1:10" ht="51" x14ac:dyDescent="0.2">
      <c r="A753" s="1"/>
      <c r="B753" s="25"/>
      <c r="C753" s="16" t="s">
        <v>101</v>
      </c>
      <c r="D753" s="16" t="s">
        <v>88</v>
      </c>
      <c r="E753" s="82" t="s">
        <v>568</v>
      </c>
      <c r="F753" s="16"/>
      <c r="G753" s="54" t="s">
        <v>570</v>
      </c>
      <c r="H753" s="41">
        <f>SUM(H754:H754)</f>
        <v>50</v>
      </c>
      <c r="I753" s="41">
        <f>SUM(I754:I754)</f>
        <v>0</v>
      </c>
      <c r="J753" s="41">
        <f>SUM(J754:J754)</f>
        <v>0</v>
      </c>
    </row>
    <row r="754" spans="1:10" x14ac:dyDescent="0.2">
      <c r="A754" s="1"/>
      <c r="B754" s="25"/>
      <c r="C754" s="16" t="s">
        <v>101</v>
      </c>
      <c r="D754" s="16" t="s">
        <v>88</v>
      </c>
      <c r="E754" s="82" t="s">
        <v>568</v>
      </c>
      <c r="F754" s="21" t="s">
        <v>225</v>
      </c>
      <c r="G754" s="98" t="s">
        <v>224</v>
      </c>
      <c r="H754" s="39">
        <v>50</v>
      </c>
      <c r="I754" s="39">
        <v>0</v>
      </c>
      <c r="J754" s="39">
        <v>0</v>
      </c>
    </row>
    <row r="755" spans="1:10" ht="51" x14ac:dyDescent="0.2">
      <c r="A755" s="1"/>
      <c r="B755" s="25"/>
      <c r="C755" s="16" t="s">
        <v>101</v>
      </c>
      <c r="D755" s="16" t="s">
        <v>88</v>
      </c>
      <c r="E755" s="82" t="s">
        <v>567</v>
      </c>
      <c r="F755" s="21"/>
      <c r="G755" s="54" t="s">
        <v>566</v>
      </c>
      <c r="H755" s="39">
        <f>H756</f>
        <v>180</v>
      </c>
      <c r="I755" s="39">
        <f t="shared" ref="I755:J755" si="278">I756</f>
        <v>0</v>
      </c>
      <c r="J755" s="39">
        <f t="shared" si="278"/>
        <v>0</v>
      </c>
    </row>
    <row r="756" spans="1:10" ht="38.25" x14ac:dyDescent="0.2">
      <c r="A756" s="1"/>
      <c r="B756" s="25"/>
      <c r="C756" s="16" t="s">
        <v>101</v>
      </c>
      <c r="D756" s="16" t="s">
        <v>88</v>
      </c>
      <c r="E756" s="82" t="s">
        <v>567</v>
      </c>
      <c r="F756" s="82" t="s">
        <v>211</v>
      </c>
      <c r="G756" s="98" t="s">
        <v>212</v>
      </c>
      <c r="H756" s="39">
        <v>180</v>
      </c>
      <c r="I756" s="39">
        <v>0</v>
      </c>
      <c r="J756" s="39">
        <v>0</v>
      </c>
    </row>
    <row r="757" spans="1:10" s="37" customFormat="1" ht="25.5" x14ac:dyDescent="0.2">
      <c r="A757" s="27"/>
      <c r="B757" s="70"/>
      <c r="C757" s="35" t="s">
        <v>101</v>
      </c>
      <c r="D757" s="35" t="s">
        <v>94</v>
      </c>
      <c r="E757" s="35"/>
      <c r="F757" s="35"/>
      <c r="G757" s="46" t="s">
        <v>7</v>
      </c>
      <c r="H757" s="42">
        <f>H758</f>
        <v>4238.6000000000004</v>
      </c>
      <c r="I757" s="42">
        <f t="shared" ref="I757:J757" si="279">I758</f>
        <v>4028.5</v>
      </c>
      <c r="J757" s="42">
        <f t="shared" si="279"/>
        <v>4028.5</v>
      </c>
    </row>
    <row r="758" spans="1:10" s="37" customFormat="1" ht="90" x14ac:dyDescent="0.25">
      <c r="A758" s="27"/>
      <c r="B758" s="70"/>
      <c r="C758" s="5" t="s">
        <v>101</v>
      </c>
      <c r="D758" s="5" t="s">
        <v>94</v>
      </c>
      <c r="E758" s="73" t="s">
        <v>59</v>
      </c>
      <c r="F758" s="35"/>
      <c r="G758" s="53" t="s">
        <v>572</v>
      </c>
      <c r="H758" s="65">
        <f>H759+H765</f>
        <v>4238.6000000000004</v>
      </c>
      <c r="I758" s="65">
        <f>I759+I765</f>
        <v>4028.5</v>
      </c>
      <c r="J758" s="65">
        <f>J759+J765</f>
        <v>4028.5</v>
      </c>
    </row>
    <row r="759" spans="1:10" s="37" customFormat="1" ht="25.5" x14ac:dyDescent="0.2">
      <c r="A759" s="27"/>
      <c r="B759" s="70"/>
      <c r="C759" s="16" t="s">
        <v>101</v>
      </c>
      <c r="D759" s="16" t="s">
        <v>94</v>
      </c>
      <c r="E759" s="21" t="s">
        <v>60</v>
      </c>
      <c r="F759" s="35"/>
      <c r="G759" s="48" t="s">
        <v>171</v>
      </c>
      <c r="H759" s="42">
        <f t="shared" ref="H759:J761" si="280">H760</f>
        <v>674</v>
      </c>
      <c r="I759" s="42">
        <f t="shared" si="280"/>
        <v>574</v>
      </c>
      <c r="J759" s="42">
        <f t="shared" si="280"/>
        <v>574</v>
      </c>
    </row>
    <row r="760" spans="1:10" s="37" customFormat="1" ht="38.25" x14ac:dyDescent="0.2">
      <c r="A760" s="27"/>
      <c r="B760" s="70"/>
      <c r="C760" s="16" t="s">
        <v>101</v>
      </c>
      <c r="D760" s="16" t="s">
        <v>94</v>
      </c>
      <c r="E760" s="21" t="s">
        <v>446</v>
      </c>
      <c r="F760" s="35"/>
      <c r="G760" s="101" t="s">
        <v>255</v>
      </c>
      <c r="H760" s="41">
        <f>H761+H763</f>
        <v>674</v>
      </c>
      <c r="I760" s="41">
        <f t="shared" ref="I760:J760" si="281">I761+I763</f>
        <v>574</v>
      </c>
      <c r="J760" s="41">
        <f t="shared" si="281"/>
        <v>574</v>
      </c>
    </row>
    <row r="761" spans="1:10" s="37" customFormat="1" ht="51" x14ac:dyDescent="0.2">
      <c r="A761" s="27"/>
      <c r="B761" s="70"/>
      <c r="C761" s="16" t="s">
        <v>101</v>
      </c>
      <c r="D761" s="16" t="s">
        <v>94</v>
      </c>
      <c r="E761" s="21" t="s">
        <v>447</v>
      </c>
      <c r="F761" s="16"/>
      <c r="G761" s="98" t="s">
        <v>174</v>
      </c>
      <c r="H761" s="41">
        <f t="shared" si="280"/>
        <v>574</v>
      </c>
      <c r="I761" s="41">
        <f t="shared" si="280"/>
        <v>574</v>
      </c>
      <c r="J761" s="41">
        <f t="shared" si="280"/>
        <v>574</v>
      </c>
    </row>
    <row r="762" spans="1:10" s="37" customFormat="1" ht="38.25" x14ac:dyDescent="0.2">
      <c r="A762" s="27"/>
      <c r="B762" s="70"/>
      <c r="C762" s="16" t="s">
        <v>101</v>
      </c>
      <c r="D762" s="16" t="s">
        <v>94</v>
      </c>
      <c r="E762" s="21" t="s">
        <v>447</v>
      </c>
      <c r="F762" s="82" t="s">
        <v>211</v>
      </c>
      <c r="G762" s="98" t="s">
        <v>212</v>
      </c>
      <c r="H762" s="41">
        <v>574</v>
      </c>
      <c r="I762" s="41">
        <v>574</v>
      </c>
      <c r="J762" s="41">
        <v>574</v>
      </c>
    </row>
    <row r="763" spans="1:10" s="37" customFormat="1" ht="25.5" x14ac:dyDescent="0.2">
      <c r="A763" s="27"/>
      <c r="B763" s="70"/>
      <c r="C763" s="16" t="s">
        <v>101</v>
      </c>
      <c r="D763" s="16" t="s">
        <v>94</v>
      </c>
      <c r="E763" s="21" t="s">
        <v>755</v>
      </c>
      <c r="F763" s="82"/>
      <c r="G763" s="108" t="s">
        <v>756</v>
      </c>
      <c r="H763" s="41">
        <f>H764</f>
        <v>100</v>
      </c>
      <c r="I763" s="41">
        <f t="shared" ref="I763:J763" si="282">I764</f>
        <v>0</v>
      </c>
      <c r="J763" s="41">
        <f t="shared" si="282"/>
        <v>0</v>
      </c>
    </row>
    <row r="764" spans="1:10" s="37" customFormat="1" ht="38.25" x14ac:dyDescent="0.2">
      <c r="A764" s="27"/>
      <c r="B764" s="70"/>
      <c r="C764" s="16" t="s">
        <v>101</v>
      </c>
      <c r="D764" s="16" t="s">
        <v>94</v>
      </c>
      <c r="E764" s="175" t="s">
        <v>755</v>
      </c>
      <c r="F764" s="82" t="s">
        <v>211</v>
      </c>
      <c r="G764" s="98" t="s">
        <v>212</v>
      </c>
      <c r="H764" s="41">
        <v>100</v>
      </c>
      <c r="I764" s="41">
        <v>0</v>
      </c>
      <c r="J764" s="41">
        <v>0</v>
      </c>
    </row>
    <row r="765" spans="1:10" s="37" customFormat="1" ht="14.25" x14ac:dyDescent="0.2">
      <c r="A765" s="27"/>
      <c r="B765" s="70"/>
      <c r="C765" s="16" t="s">
        <v>101</v>
      </c>
      <c r="D765" s="16" t="s">
        <v>94</v>
      </c>
      <c r="E765" s="52" t="s">
        <v>31</v>
      </c>
      <c r="F765" s="21"/>
      <c r="G765" s="66" t="s">
        <v>46</v>
      </c>
      <c r="H765" s="58">
        <f>H766</f>
        <v>3564.6</v>
      </c>
      <c r="I765" s="58">
        <f>I766</f>
        <v>3454.5</v>
      </c>
      <c r="J765" s="58">
        <f>J766</f>
        <v>3454.5</v>
      </c>
    </row>
    <row r="766" spans="1:10" s="37" customFormat="1" ht="63.75" x14ac:dyDescent="0.2">
      <c r="A766" s="27"/>
      <c r="B766" s="70"/>
      <c r="C766" s="16" t="s">
        <v>101</v>
      </c>
      <c r="D766" s="16" t="s">
        <v>94</v>
      </c>
      <c r="E766" s="80">
        <v>290022200</v>
      </c>
      <c r="F766" s="21"/>
      <c r="G766" s="98" t="s">
        <v>261</v>
      </c>
      <c r="H766" s="94">
        <f>SUM(H767:H769)</f>
        <v>3564.6</v>
      </c>
      <c r="I766" s="94">
        <f>SUM(I767:I768)</f>
        <v>3454.5</v>
      </c>
      <c r="J766" s="94">
        <f>SUM(J767:J768)</f>
        <v>3454.5</v>
      </c>
    </row>
    <row r="767" spans="1:10" s="37" customFormat="1" ht="38.25" x14ac:dyDescent="0.2">
      <c r="A767" s="27"/>
      <c r="B767" s="70"/>
      <c r="C767" s="16" t="s">
        <v>101</v>
      </c>
      <c r="D767" s="16" t="s">
        <v>94</v>
      </c>
      <c r="E767" s="80">
        <v>290022200</v>
      </c>
      <c r="F767" s="16" t="s">
        <v>62</v>
      </c>
      <c r="G767" s="55" t="s">
        <v>63</v>
      </c>
      <c r="H767" s="94">
        <f>3380.7+110.1-55</f>
        <v>3435.7999999999997</v>
      </c>
      <c r="I767" s="94">
        <v>3380.7</v>
      </c>
      <c r="J767" s="94">
        <v>3380.7</v>
      </c>
    </row>
    <row r="768" spans="1:10" s="37" customFormat="1" ht="38.25" x14ac:dyDescent="0.2">
      <c r="A768" s="27"/>
      <c r="B768" s="70"/>
      <c r="C768" s="16" t="s">
        <v>101</v>
      </c>
      <c r="D768" s="16" t="s">
        <v>94</v>
      </c>
      <c r="E768" s="80">
        <v>290022200</v>
      </c>
      <c r="F768" s="82" t="s">
        <v>211</v>
      </c>
      <c r="G768" s="98" t="s">
        <v>212</v>
      </c>
      <c r="H768" s="41">
        <v>73.8</v>
      </c>
      <c r="I768" s="41">
        <v>73.8</v>
      </c>
      <c r="J768" s="41">
        <v>73.8</v>
      </c>
    </row>
    <row r="769" spans="1:10" s="37" customFormat="1" ht="38.25" x14ac:dyDescent="0.2">
      <c r="A769" s="27"/>
      <c r="B769" s="70"/>
      <c r="C769" s="16" t="s">
        <v>101</v>
      </c>
      <c r="D769" s="16" t="s">
        <v>94</v>
      </c>
      <c r="E769" s="80">
        <v>290022200</v>
      </c>
      <c r="F769" s="82" t="s">
        <v>260</v>
      </c>
      <c r="G769" s="98" t="s">
        <v>249</v>
      </c>
      <c r="H769" s="41">
        <v>55</v>
      </c>
      <c r="I769" s="41">
        <v>0</v>
      </c>
      <c r="J769" s="41">
        <v>0</v>
      </c>
    </row>
    <row r="770" spans="1:10" ht="15.75" x14ac:dyDescent="0.25">
      <c r="A770" s="1"/>
      <c r="B770" s="25"/>
      <c r="C770" s="4" t="s">
        <v>102</v>
      </c>
      <c r="D770" s="3"/>
      <c r="E770" s="3"/>
      <c r="F770" s="3"/>
      <c r="G770" s="49" t="s">
        <v>123</v>
      </c>
      <c r="H770" s="92">
        <f t="shared" ref="H770:J773" si="283">H771</f>
        <v>6706.1</v>
      </c>
      <c r="I770" s="92">
        <f t="shared" si="283"/>
        <v>706.1</v>
      </c>
      <c r="J770" s="92">
        <f t="shared" si="283"/>
        <v>706.1</v>
      </c>
    </row>
    <row r="771" spans="1:10" ht="14.25" x14ac:dyDescent="0.2">
      <c r="A771" s="1"/>
      <c r="B771" s="25"/>
      <c r="C771" s="35" t="s">
        <v>102</v>
      </c>
      <c r="D771" s="35" t="s">
        <v>89</v>
      </c>
      <c r="E771" s="35"/>
      <c r="F771" s="35"/>
      <c r="G771" s="46" t="s">
        <v>6</v>
      </c>
      <c r="H771" s="42">
        <f t="shared" si="283"/>
        <v>6706.1</v>
      </c>
      <c r="I771" s="42">
        <f t="shared" si="283"/>
        <v>706.1</v>
      </c>
      <c r="J771" s="42">
        <f t="shared" si="283"/>
        <v>706.1</v>
      </c>
    </row>
    <row r="772" spans="1:10" ht="89.25" x14ac:dyDescent="0.2">
      <c r="A772" s="1"/>
      <c r="B772" s="25"/>
      <c r="C772" s="16" t="s">
        <v>102</v>
      </c>
      <c r="D772" s="16" t="s">
        <v>89</v>
      </c>
      <c r="E772" s="73" t="s">
        <v>59</v>
      </c>
      <c r="F772" s="35"/>
      <c r="G772" s="53" t="s">
        <v>572</v>
      </c>
      <c r="H772" s="62">
        <f t="shared" si="283"/>
        <v>6706.1</v>
      </c>
      <c r="I772" s="62">
        <f t="shared" si="283"/>
        <v>706.1</v>
      </c>
      <c r="J772" s="62">
        <f t="shared" si="283"/>
        <v>706.1</v>
      </c>
    </row>
    <row r="773" spans="1:10" ht="38.25" x14ac:dyDescent="0.2">
      <c r="A773" s="1"/>
      <c r="B773" s="25"/>
      <c r="C773" s="47" t="s">
        <v>102</v>
      </c>
      <c r="D773" s="47" t="s">
        <v>89</v>
      </c>
      <c r="E773" s="52" t="s">
        <v>43</v>
      </c>
      <c r="F773" s="35"/>
      <c r="G773" s="48" t="s">
        <v>201</v>
      </c>
      <c r="H773" s="58">
        <f>H774</f>
        <v>6706.1</v>
      </c>
      <c r="I773" s="58">
        <f t="shared" si="283"/>
        <v>706.1</v>
      </c>
      <c r="J773" s="58">
        <f t="shared" si="283"/>
        <v>706.1</v>
      </c>
    </row>
    <row r="774" spans="1:10" ht="89.25" customHeight="1" x14ac:dyDescent="0.2">
      <c r="A774" s="1"/>
      <c r="B774" s="25"/>
      <c r="C774" s="16" t="s">
        <v>102</v>
      </c>
      <c r="D774" s="16" t="s">
        <v>89</v>
      </c>
      <c r="E774" s="21" t="s">
        <v>256</v>
      </c>
      <c r="F774" s="35"/>
      <c r="G774" s="99" t="s">
        <v>257</v>
      </c>
      <c r="H774" s="58">
        <f>H775+H778+H781</f>
        <v>6706.1</v>
      </c>
      <c r="I774" s="58">
        <f t="shared" ref="I774:J774" si="284">I775+I778+I781</f>
        <v>706.1</v>
      </c>
      <c r="J774" s="58">
        <f t="shared" si="284"/>
        <v>706.1</v>
      </c>
    </row>
    <row r="775" spans="1:10" ht="89.25" x14ac:dyDescent="0.2">
      <c r="A775" s="1"/>
      <c r="B775" s="25"/>
      <c r="C775" s="16" t="s">
        <v>102</v>
      </c>
      <c r="D775" s="16" t="s">
        <v>89</v>
      </c>
      <c r="E775" s="21" t="s">
        <v>448</v>
      </c>
      <c r="F775" s="21"/>
      <c r="G775" s="99" t="s">
        <v>176</v>
      </c>
      <c r="H775" s="39">
        <f>SUM(H776:H777)</f>
        <v>615.1</v>
      </c>
      <c r="I775" s="39">
        <f>SUM(I777:I777)</f>
        <v>615.1</v>
      </c>
      <c r="J775" s="39">
        <f>SUM(J777:J777)</f>
        <v>615.1</v>
      </c>
    </row>
    <row r="776" spans="1:10" ht="25.5" x14ac:dyDescent="0.2">
      <c r="A776" s="1"/>
      <c r="B776" s="25"/>
      <c r="C776" s="16" t="s">
        <v>102</v>
      </c>
      <c r="D776" s="16" t="s">
        <v>89</v>
      </c>
      <c r="E776" s="21" t="s">
        <v>448</v>
      </c>
      <c r="F776" s="82" t="s">
        <v>64</v>
      </c>
      <c r="G776" s="55" t="s">
        <v>130</v>
      </c>
      <c r="H776" s="39">
        <v>131.30000000000001</v>
      </c>
      <c r="I776" s="39">
        <v>0</v>
      </c>
      <c r="J776" s="39">
        <v>0</v>
      </c>
    </row>
    <row r="777" spans="1:10" ht="38.25" x14ac:dyDescent="0.2">
      <c r="A777" s="1"/>
      <c r="B777" s="25"/>
      <c r="C777" s="16" t="s">
        <v>102</v>
      </c>
      <c r="D777" s="16" t="s">
        <v>89</v>
      </c>
      <c r="E777" s="21" t="s">
        <v>448</v>
      </c>
      <c r="F777" s="82" t="s">
        <v>211</v>
      </c>
      <c r="G777" s="98" t="s">
        <v>212</v>
      </c>
      <c r="H777" s="39">
        <f>615.1-131.3</f>
        <v>483.8</v>
      </c>
      <c r="I777" s="39">
        <v>615.1</v>
      </c>
      <c r="J777" s="39">
        <v>615.1</v>
      </c>
    </row>
    <row r="778" spans="1:10" ht="63.75" x14ac:dyDescent="0.2">
      <c r="A778" s="1"/>
      <c r="B778" s="25"/>
      <c r="C778" s="16" t="s">
        <v>102</v>
      </c>
      <c r="D778" s="16" t="s">
        <v>89</v>
      </c>
      <c r="E778" s="21" t="s">
        <v>449</v>
      </c>
      <c r="F778" s="21"/>
      <c r="G778" s="99" t="s">
        <v>61</v>
      </c>
      <c r="H778" s="39">
        <f>SUM(H779:H780)</f>
        <v>91</v>
      </c>
      <c r="I778" s="39">
        <f>SUM(I779:I780)</f>
        <v>91</v>
      </c>
      <c r="J778" s="39">
        <f>SUM(J779:J780)</f>
        <v>91</v>
      </c>
    </row>
    <row r="779" spans="1:10" ht="25.5" x14ac:dyDescent="0.2">
      <c r="A779" s="1"/>
      <c r="B779" s="25"/>
      <c r="C779" s="16" t="s">
        <v>102</v>
      </c>
      <c r="D779" s="16" t="s">
        <v>89</v>
      </c>
      <c r="E779" s="21" t="s">
        <v>449</v>
      </c>
      <c r="F779" s="82" t="s">
        <v>64</v>
      </c>
      <c r="G779" s="55" t="s">
        <v>130</v>
      </c>
      <c r="H779" s="39">
        <v>46</v>
      </c>
      <c r="I779" s="39">
        <v>46</v>
      </c>
      <c r="J779" s="39">
        <v>46</v>
      </c>
    </row>
    <row r="780" spans="1:10" ht="38.25" x14ac:dyDescent="0.2">
      <c r="A780" s="1"/>
      <c r="B780" s="25"/>
      <c r="C780" s="16" t="s">
        <v>102</v>
      </c>
      <c r="D780" s="16" t="s">
        <v>89</v>
      </c>
      <c r="E780" s="21" t="s">
        <v>449</v>
      </c>
      <c r="F780" s="82" t="s">
        <v>211</v>
      </c>
      <c r="G780" s="98" t="s">
        <v>212</v>
      </c>
      <c r="H780" s="39">
        <v>45</v>
      </c>
      <c r="I780" s="39">
        <v>45</v>
      </c>
      <c r="J780" s="39">
        <v>45</v>
      </c>
    </row>
    <row r="781" spans="1:10" ht="25.5" x14ac:dyDescent="0.2">
      <c r="A781" s="1"/>
      <c r="B781" s="25"/>
      <c r="C781" s="16" t="s">
        <v>102</v>
      </c>
      <c r="D781" s="16" t="s">
        <v>89</v>
      </c>
      <c r="E781" s="21" t="s">
        <v>707</v>
      </c>
      <c r="F781" s="82"/>
      <c r="G781" s="98" t="s">
        <v>708</v>
      </c>
      <c r="H781" s="39">
        <f>H782</f>
        <v>6000</v>
      </c>
      <c r="I781" s="39">
        <f t="shared" ref="I781:J781" si="285">I782</f>
        <v>0</v>
      </c>
      <c r="J781" s="39">
        <f t="shared" si="285"/>
        <v>0</v>
      </c>
    </row>
    <row r="782" spans="1:10" ht="38.25" x14ac:dyDescent="0.2">
      <c r="A782" s="1"/>
      <c r="B782" s="25"/>
      <c r="C782" s="16" t="s">
        <v>102</v>
      </c>
      <c r="D782" s="16" t="s">
        <v>89</v>
      </c>
      <c r="E782" s="21" t="s">
        <v>707</v>
      </c>
      <c r="F782" s="82" t="s">
        <v>211</v>
      </c>
      <c r="G782" s="98" t="s">
        <v>212</v>
      </c>
      <c r="H782" s="39">
        <v>6000</v>
      </c>
      <c r="I782" s="39">
        <v>0</v>
      </c>
      <c r="J782" s="39">
        <v>0</v>
      </c>
    </row>
    <row r="783" spans="1:10" s="8" customFormat="1" ht="74.25" customHeight="1" x14ac:dyDescent="0.25">
      <c r="A783" s="3">
        <v>6</v>
      </c>
      <c r="B783" s="91">
        <v>902</v>
      </c>
      <c r="C783" s="13"/>
      <c r="D783" s="13"/>
      <c r="E783" s="13"/>
      <c r="F783" s="13"/>
      <c r="G783" s="14" t="s">
        <v>197</v>
      </c>
      <c r="H783" s="92">
        <f>H784+H795</f>
        <v>12417.199999999999</v>
      </c>
      <c r="I783" s="92">
        <f>I784+I795</f>
        <v>12232.699999999999</v>
      </c>
      <c r="J783" s="92">
        <f>J784+J795</f>
        <v>12232.699999999999</v>
      </c>
    </row>
    <row r="784" spans="1:10" ht="15.75" x14ac:dyDescent="0.25">
      <c r="A784" s="3"/>
      <c r="B784" s="91"/>
      <c r="C784" s="4" t="s">
        <v>88</v>
      </c>
      <c r="D784" s="11"/>
      <c r="E784" s="11"/>
      <c r="F784" s="11"/>
      <c r="G784" s="15" t="s">
        <v>91</v>
      </c>
      <c r="H784" s="92">
        <f>H785+H791</f>
        <v>12392.199999999999</v>
      </c>
      <c r="I784" s="92">
        <f>I785+I791</f>
        <v>12232.699999999999</v>
      </c>
      <c r="J784" s="92">
        <f>J785+J791</f>
        <v>12232.699999999999</v>
      </c>
    </row>
    <row r="785" spans="1:12" s="37" customFormat="1" ht="52.5" customHeight="1" x14ac:dyDescent="0.2">
      <c r="A785" s="27"/>
      <c r="B785" s="70"/>
      <c r="C785" s="35" t="s">
        <v>88</v>
      </c>
      <c r="D785" s="35" t="s">
        <v>96</v>
      </c>
      <c r="E785" s="35"/>
      <c r="F785" s="35"/>
      <c r="G785" s="46" t="s">
        <v>125</v>
      </c>
      <c r="H785" s="42">
        <f t="shared" ref="H785:J786" si="286">SUM(H786)</f>
        <v>12164.499999999998</v>
      </c>
      <c r="I785" s="42">
        <f t="shared" si="286"/>
        <v>11732.699999999999</v>
      </c>
      <c r="J785" s="42">
        <f t="shared" si="286"/>
        <v>11732.699999999999</v>
      </c>
    </row>
    <row r="786" spans="1:12" ht="25.5" x14ac:dyDescent="0.2">
      <c r="A786" s="1"/>
      <c r="B786" s="25"/>
      <c r="C786" s="16" t="s">
        <v>88</v>
      </c>
      <c r="D786" s="16" t="s">
        <v>96</v>
      </c>
      <c r="E786" s="79">
        <v>9900000000</v>
      </c>
      <c r="F786" s="16"/>
      <c r="G786" s="55" t="s">
        <v>144</v>
      </c>
      <c r="H786" s="39">
        <f t="shared" si="286"/>
        <v>12164.499999999998</v>
      </c>
      <c r="I786" s="39">
        <f t="shared" si="286"/>
        <v>11732.699999999999</v>
      </c>
      <c r="J786" s="39">
        <f t="shared" si="286"/>
        <v>11732.699999999999</v>
      </c>
    </row>
    <row r="787" spans="1:12" ht="38.25" x14ac:dyDescent="0.2">
      <c r="A787" s="1"/>
      <c r="B787" s="25"/>
      <c r="C787" s="16" t="s">
        <v>88</v>
      </c>
      <c r="D787" s="16" t="s">
        <v>96</v>
      </c>
      <c r="E787" s="79">
        <v>9980000000</v>
      </c>
      <c r="F787" s="16"/>
      <c r="G787" s="54" t="s">
        <v>29</v>
      </c>
      <c r="H787" s="39">
        <f t="shared" ref="H787:J787" si="287">H788</f>
        <v>12164.499999999998</v>
      </c>
      <c r="I787" s="39">
        <f t="shared" si="287"/>
        <v>11732.699999999999</v>
      </c>
      <c r="J787" s="39">
        <f t="shared" si="287"/>
        <v>11732.699999999999</v>
      </c>
    </row>
    <row r="788" spans="1:12" x14ac:dyDescent="0.2">
      <c r="A788" s="1"/>
      <c r="B788" s="25"/>
      <c r="C788" s="16" t="s">
        <v>88</v>
      </c>
      <c r="D788" s="16" t="s">
        <v>96</v>
      </c>
      <c r="E788" s="79">
        <v>9980022200</v>
      </c>
      <c r="F788" s="21"/>
      <c r="G788" s="99" t="s">
        <v>115</v>
      </c>
      <c r="H788" s="39">
        <f>SUM(H789:H790)</f>
        <v>12164.499999999998</v>
      </c>
      <c r="I788" s="39">
        <f>SUM(I789:I790)</f>
        <v>11732.699999999999</v>
      </c>
      <c r="J788" s="39">
        <f>SUM(J789:J790)</f>
        <v>11732.699999999999</v>
      </c>
    </row>
    <row r="789" spans="1:12" ht="38.25" x14ac:dyDescent="0.2">
      <c r="A789" s="1"/>
      <c r="B789" s="25"/>
      <c r="C789" s="16" t="s">
        <v>88</v>
      </c>
      <c r="D789" s="16" t="s">
        <v>96</v>
      </c>
      <c r="E789" s="79">
        <v>9980022200</v>
      </c>
      <c r="F789" s="16" t="s">
        <v>62</v>
      </c>
      <c r="G789" s="102" t="s">
        <v>63</v>
      </c>
      <c r="H789" s="39">
        <f>11196.4+431.8+218.5</f>
        <v>11846.699999999999</v>
      </c>
      <c r="I789" s="39">
        <v>11196.4</v>
      </c>
      <c r="J789" s="39">
        <v>11196.4</v>
      </c>
    </row>
    <row r="790" spans="1:12" ht="38.25" x14ac:dyDescent="0.2">
      <c r="A790" s="1"/>
      <c r="B790" s="25"/>
      <c r="C790" s="16" t="s">
        <v>88</v>
      </c>
      <c r="D790" s="16" t="s">
        <v>96</v>
      </c>
      <c r="E790" s="79">
        <v>9980022200</v>
      </c>
      <c r="F790" s="82" t="s">
        <v>211</v>
      </c>
      <c r="G790" s="98" t="s">
        <v>212</v>
      </c>
      <c r="H790" s="39">
        <f>536.3-218.5</f>
        <v>317.79999999999995</v>
      </c>
      <c r="I790" s="39">
        <v>536.29999999999995</v>
      </c>
      <c r="J790" s="39">
        <v>536.29999999999995</v>
      </c>
    </row>
    <row r="791" spans="1:12" ht="14.25" x14ac:dyDescent="0.2">
      <c r="A791" s="1"/>
      <c r="B791" s="25"/>
      <c r="C791" s="35" t="s">
        <v>88</v>
      </c>
      <c r="D791" s="35" t="s">
        <v>102</v>
      </c>
      <c r="E791" s="35"/>
      <c r="F791" s="35"/>
      <c r="G791" s="27" t="s">
        <v>5</v>
      </c>
      <c r="H791" s="42">
        <f t="shared" ref="H791:J793" si="288">H792</f>
        <v>227.70000000000002</v>
      </c>
      <c r="I791" s="42">
        <f t="shared" si="288"/>
        <v>500</v>
      </c>
      <c r="J791" s="42">
        <f t="shared" si="288"/>
        <v>500</v>
      </c>
    </row>
    <row r="792" spans="1:12" ht="14.25" x14ac:dyDescent="0.2">
      <c r="A792" s="1"/>
      <c r="B792" s="25"/>
      <c r="C792" s="16" t="s">
        <v>88</v>
      </c>
      <c r="D792" s="16" t="s">
        <v>102</v>
      </c>
      <c r="E792" s="79">
        <v>9920000000</v>
      </c>
      <c r="F792" s="35"/>
      <c r="G792" s="126" t="s">
        <v>5</v>
      </c>
      <c r="H792" s="42">
        <f t="shared" si="288"/>
        <v>227.70000000000002</v>
      </c>
      <c r="I792" s="42">
        <f t="shared" si="288"/>
        <v>500</v>
      </c>
      <c r="J792" s="42">
        <f t="shared" si="288"/>
        <v>500</v>
      </c>
    </row>
    <row r="793" spans="1:12" ht="25.5" x14ac:dyDescent="0.2">
      <c r="A793" s="1"/>
      <c r="B793" s="25"/>
      <c r="C793" s="16" t="s">
        <v>88</v>
      </c>
      <c r="D793" s="16" t="s">
        <v>102</v>
      </c>
      <c r="E793" s="79">
        <v>9920026100</v>
      </c>
      <c r="F793" s="21"/>
      <c r="G793" s="99" t="s">
        <v>11</v>
      </c>
      <c r="H793" s="39">
        <f t="shared" si="288"/>
        <v>227.70000000000002</v>
      </c>
      <c r="I793" s="39">
        <f t="shared" si="288"/>
        <v>500</v>
      </c>
      <c r="J793" s="39">
        <f t="shared" si="288"/>
        <v>500</v>
      </c>
    </row>
    <row r="794" spans="1:12" x14ac:dyDescent="0.2">
      <c r="A794" s="1"/>
      <c r="B794" s="25"/>
      <c r="C794" s="16" t="s">
        <v>88</v>
      </c>
      <c r="D794" s="16" t="s">
        <v>102</v>
      </c>
      <c r="E794" s="79">
        <v>9920026100</v>
      </c>
      <c r="F794" s="16" t="s">
        <v>84</v>
      </c>
      <c r="G794" s="98" t="s">
        <v>85</v>
      </c>
      <c r="H794" s="39">
        <f>500-100-153.7-18.6</f>
        <v>227.70000000000002</v>
      </c>
      <c r="I794" s="39">
        <v>500</v>
      </c>
      <c r="J794" s="39">
        <v>500</v>
      </c>
    </row>
    <row r="795" spans="1:12" ht="32.25" customHeight="1" x14ac:dyDescent="0.25">
      <c r="B795" s="25"/>
      <c r="C795" s="4" t="s">
        <v>9</v>
      </c>
      <c r="D795" s="5"/>
      <c r="E795" s="146"/>
      <c r="F795" s="146"/>
      <c r="G795" s="49" t="s">
        <v>600</v>
      </c>
      <c r="H795" s="96">
        <f>H796</f>
        <v>25</v>
      </c>
      <c r="I795" s="96">
        <f t="shared" ref="I795:J798" si="289">I796</f>
        <v>0</v>
      </c>
      <c r="J795" s="96">
        <f t="shared" si="289"/>
        <v>0</v>
      </c>
      <c r="L795" s="103"/>
    </row>
    <row r="796" spans="1:12" ht="25.5" x14ac:dyDescent="0.2">
      <c r="B796" s="25"/>
      <c r="C796" s="47" t="s">
        <v>9</v>
      </c>
      <c r="D796" s="47" t="s">
        <v>88</v>
      </c>
      <c r="E796" s="23"/>
      <c r="F796" s="23"/>
      <c r="G796" s="48" t="s">
        <v>601</v>
      </c>
      <c r="H796" s="93">
        <f>H797</f>
        <v>25</v>
      </c>
      <c r="I796" s="93">
        <f t="shared" si="289"/>
        <v>0</v>
      </c>
      <c r="J796" s="93">
        <f t="shared" si="289"/>
        <v>0</v>
      </c>
    </row>
    <row r="797" spans="1:12" ht="38.25" x14ac:dyDescent="0.2">
      <c r="B797" s="25"/>
      <c r="C797" s="82" t="s">
        <v>9</v>
      </c>
      <c r="D797" s="82" t="s">
        <v>88</v>
      </c>
      <c r="E797" s="82" t="s">
        <v>24</v>
      </c>
      <c r="F797" s="82"/>
      <c r="G797" s="99" t="s">
        <v>38</v>
      </c>
      <c r="H797" s="39">
        <f>H798</f>
        <v>25</v>
      </c>
      <c r="I797" s="39">
        <f t="shared" si="289"/>
        <v>0</v>
      </c>
      <c r="J797" s="39">
        <f t="shared" si="289"/>
        <v>0</v>
      </c>
    </row>
    <row r="798" spans="1:12" ht="25.5" x14ac:dyDescent="0.2">
      <c r="B798" s="25"/>
      <c r="C798" s="82" t="s">
        <v>9</v>
      </c>
      <c r="D798" s="82" t="s">
        <v>88</v>
      </c>
      <c r="E798" s="1">
        <v>9940026500</v>
      </c>
      <c r="F798" s="1"/>
      <c r="G798" s="99" t="s">
        <v>602</v>
      </c>
      <c r="H798" s="39">
        <f>H799</f>
        <v>25</v>
      </c>
      <c r="I798" s="39">
        <f t="shared" si="289"/>
        <v>0</v>
      </c>
      <c r="J798" s="39">
        <f t="shared" si="289"/>
        <v>0</v>
      </c>
    </row>
    <row r="799" spans="1:12" x14ac:dyDescent="0.2">
      <c r="B799" s="25"/>
      <c r="C799" s="82" t="s">
        <v>9</v>
      </c>
      <c r="D799" s="82" t="s">
        <v>88</v>
      </c>
      <c r="E799" s="1">
        <v>9940026500</v>
      </c>
      <c r="F799" s="82" t="s">
        <v>603</v>
      </c>
      <c r="G799" s="1" t="s">
        <v>604</v>
      </c>
      <c r="H799" s="39">
        <v>25</v>
      </c>
      <c r="I799" s="39">
        <v>0</v>
      </c>
      <c r="J799" s="39">
        <v>0</v>
      </c>
    </row>
  </sheetData>
  <mergeCells count="14">
    <mergeCell ref="B9:C9"/>
    <mergeCell ref="B10:C10"/>
    <mergeCell ref="B11:C11"/>
    <mergeCell ref="A19:A20"/>
    <mergeCell ref="A16:J16"/>
    <mergeCell ref="E18:E20"/>
    <mergeCell ref="F18:F20"/>
    <mergeCell ref="G18:G20"/>
    <mergeCell ref="H18:J18"/>
    <mergeCell ref="I19:J19"/>
    <mergeCell ref="C18:C20"/>
    <mergeCell ref="B18:B20"/>
    <mergeCell ref="H19:H20"/>
    <mergeCell ref="D18:D20"/>
  </mergeCells>
  <phoneticPr fontId="2" type="noConversion"/>
  <pageMargins left="0.75" right="0.75" top="0.9" bottom="1" header="0.5" footer="0.5"/>
  <pageSetup paperSize="9" scale="95" fitToHeight="0" orientation="portrait" r:id="rId1"/>
  <headerFooter alignWithMargins="0">
    <oddFooter>&amp;R&amp;P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M662"/>
  <sheetViews>
    <sheetView view="pageBreakPreview" topLeftCell="A509" zoomScale="60" zoomScaleNormal="100" workbookViewId="0">
      <selection activeCell="M517" sqref="M517"/>
    </sheetView>
  </sheetViews>
  <sheetFormatPr defaultColWidth="9.140625" defaultRowHeight="12.75" x14ac:dyDescent="0.2"/>
  <cols>
    <col min="1" max="1" width="11.85546875" customWidth="1"/>
    <col min="2" max="2" width="3.28515625" customWidth="1"/>
    <col min="3" max="3" width="39.7109375" customWidth="1"/>
    <col min="4" max="4" width="11.85546875" customWidth="1"/>
    <col min="5" max="5" width="10.7109375" customWidth="1"/>
    <col min="6" max="6" width="10.42578125" customWidth="1"/>
    <col min="7" max="7" width="9.5703125" bestFit="1" customWidth="1"/>
  </cols>
  <sheetData>
    <row r="1" spans="1:6" x14ac:dyDescent="0.2">
      <c r="C1" s="127" t="s">
        <v>690</v>
      </c>
    </row>
    <row r="2" spans="1:6" x14ac:dyDescent="0.2">
      <c r="C2" s="127" t="s">
        <v>565</v>
      </c>
    </row>
    <row r="3" spans="1:6" x14ac:dyDescent="0.2">
      <c r="C3" s="127" t="s">
        <v>828</v>
      </c>
    </row>
    <row r="4" spans="1:6" x14ac:dyDescent="0.2">
      <c r="C4" s="127" t="s">
        <v>621</v>
      </c>
    </row>
    <row r="5" spans="1:6" x14ac:dyDescent="0.2">
      <c r="C5" s="127" t="s">
        <v>682</v>
      </c>
    </row>
    <row r="6" spans="1:6" x14ac:dyDescent="0.2">
      <c r="C6" s="127" t="s">
        <v>143</v>
      </c>
    </row>
    <row r="7" spans="1:6" x14ac:dyDescent="0.2">
      <c r="C7" s="127" t="s">
        <v>654</v>
      </c>
    </row>
    <row r="8" spans="1:6" x14ac:dyDescent="0.2">
      <c r="C8" s="127"/>
    </row>
    <row r="9" spans="1:6" x14ac:dyDescent="0.2">
      <c r="C9" s="127" t="s">
        <v>690</v>
      </c>
      <c r="D9" s="88"/>
      <c r="E9" s="89"/>
      <c r="F9" s="89"/>
    </row>
    <row r="10" spans="1:6" x14ac:dyDescent="0.2">
      <c r="C10" s="127" t="s">
        <v>370</v>
      </c>
      <c r="D10" s="88"/>
      <c r="E10" s="89"/>
      <c r="F10" s="89"/>
    </row>
    <row r="11" spans="1:6" x14ac:dyDescent="0.2">
      <c r="C11" s="127" t="s">
        <v>685</v>
      </c>
      <c r="D11" s="88"/>
      <c r="E11" s="89"/>
      <c r="F11" s="89"/>
    </row>
    <row r="12" spans="1:6" x14ac:dyDescent="0.2">
      <c r="C12" s="127" t="s">
        <v>143</v>
      </c>
      <c r="D12" s="88"/>
      <c r="E12" s="89"/>
      <c r="F12" s="89"/>
    </row>
    <row r="13" spans="1:6" x14ac:dyDescent="0.2">
      <c r="C13" s="127" t="s">
        <v>654</v>
      </c>
      <c r="D13" s="44"/>
    </row>
    <row r="14" spans="1:6" x14ac:dyDescent="0.2">
      <c r="C14" s="85"/>
      <c r="D14" s="44"/>
    </row>
    <row r="15" spans="1:6" ht="64.5" customHeight="1" x14ac:dyDescent="0.2">
      <c r="A15" s="237" t="s">
        <v>687</v>
      </c>
      <c r="B15" s="257"/>
      <c r="C15" s="257"/>
      <c r="D15" s="257"/>
      <c r="E15" s="257"/>
      <c r="F15" s="257"/>
    </row>
    <row r="16" spans="1:6" ht="15" x14ac:dyDescent="0.2">
      <c r="A16" s="109"/>
      <c r="B16" s="110"/>
      <c r="C16" s="110"/>
      <c r="D16" s="110"/>
      <c r="E16" s="110"/>
      <c r="F16" s="110"/>
    </row>
    <row r="17" spans="1:7" x14ac:dyDescent="0.2">
      <c r="D17" s="6"/>
    </row>
    <row r="18" spans="1:7" x14ac:dyDescent="0.2">
      <c r="A18" s="241" t="s">
        <v>119</v>
      </c>
      <c r="B18" s="241" t="s">
        <v>113</v>
      </c>
      <c r="C18" s="247" t="s">
        <v>270</v>
      </c>
      <c r="D18" s="256" t="s">
        <v>27</v>
      </c>
      <c r="E18" s="236"/>
      <c r="F18" s="236"/>
    </row>
    <row r="19" spans="1:7" x14ac:dyDescent="0.2">
      <c r="A19" s="242"/>
      <c r="B19" s="242"/>
      <c r="C19" s="255"/>
      <c r="D19" s="247" t="s">
        <v>464</v>
      </c>
      <c r="E19" s="236" t="s">
        <v>140</v>
      </c>
      <c r="F19" s="236"/>
    </row>
    <row r="20" spans="1:7" x14ac:dyDescent="0.2">
      <c r="A20" s="243"/>
      <c r="B20" s="243"/>
      <c r="C20" s="248"/>
      <c r="D20" s="248"/>
      <c r="E20" s="143" t="s">
        <v>590</v>
      </c>
      <c r="F20" s="143" t="s">
        <v>655</v>
      </c>
    </row>
    <row r="21" spans="1:7" x14ac:dyDescent="0.2">
      <c r="A21" s="2">
        <v>3</v>
      </c>
      <c r="B21" s="2">
        <v>4</v>
      </c>
      <c r="C21" s="2">
        <v>5</v>
      </c>
      <c r="D21" s="2">
        <v>6</v>
      </c>
      <c r="E21" s="2">
        <v>7</v>
      </c>
      <c r="F21" s="2">
        <v>8</v>
      </c>
    </row>
    <row r="22" spans="1:7" ht="18" x14ac:dyDescent="0.25">
      <c r="A22" s="2"/>
      <c r="B22" s="2"/>
      <c r="C22" s="9" t="s">
        <v>92</v>
      </c>
      <c r="D22" s="160">
        <f>D23+D604</f>
        <v>1815249.0999999999</v>
      </c>
      <c r="E22" s="161">
        <f>E23+E604</f>
        <v>1310028.5000000002</v>
      </c>
      <c r="F22" s="161">
        <f>F23+F604</f>
        <v>1299019.8</v>
      </c>
    </row>
    <row r="23" spans="1:7" ht="15.75" x14ac:dyDescent="0.25">
      <c r="A23" s="2"/>
      <c r="B23" s="2"/>
      <c r="C23" s="3" t="s">
        <v>359</v>
      </c>
      <c r="D23" s="160">
        <f>D24+D164+D246+D289+D346+D377+D384+D413+D422+D457+D472+D496+D543+D563+D575+D584</f>
        <v>1672383.4</v>
      </c>
      <c r="E23" s="160">
        <f>E24+E164+E246+E289+E346+E377+E384+E413+E422+E457+E472+E496+E543+E563+E575+E584</f>
        <v>1183654.0000000002</v>
      </c>
      <c r="F23" s="160">
        <f>F24+F164+F246+F289+F346+F377+F384+F413+F422+F457+F472+F496+F543+F563+F575+F584</f>
        <v>1172550</v>
      </c>
    </row>
    <row r="24" spans="1:7" ht="67.5" customHeight="1" x14ac:dyDescent="0.2">
      <c r="A24" s="73" t="s">
        <v>73</v>
      </c>
      <c r="B24" s="35"/>
      <c r="C24" s="64" t="s">
        <v>571</v>
      </c>
      <c r="D24" s="62">
        <f>D25+D48+D110+D131+D159</f>
        <v>765737.50000000012</v>
      </c>
      <c r="E24" s="62">
        <f>E25+E48+E110+E131+E159</f>
        <v>759940</v>
      </c>
      <c r="F24" s="62">
        <f>F25+F48+F110+F131+F159</f>
        <v>789862.8</v>
      </c>
      <c r="G24" s="103"/>
    </row>
    <row r="25" spans="1:7" ht="25.5" x14ac:dyDescent="0.2">
      <c r="A25" s="52" t="s">
        <v>74</v>
      </c>
      <c r="B25" s="35"/>
      <c r="C25" s="46" t="s">
        <v>388</v>
      </c>
      <c r="D25" s="94">
        <f>D26+D35+D44</f>
        <v>197057.40000000002</v>
      </c>
      <c r="E25" s="94">
        <f>E26+E35+E44</f>
        <v>203771.5</v>
      </c>
      <c r="F25" s="94">
        <f>F26+F35+F44</f>
        <v>209697.19999999998</v>
      </c>
      <c r="G25" s="103"/>
    </row>
    <row r="26" spans="1:7" ht="38.25" x14ac:dyDescent="0.2">
      <c r="A26" s="21" t="s">
        <v>332</v>
      </c>
      <c r="B26" s="35"/>
      <c r="C26" s="97" t="s">
        <v>389</v>
      </c>
      <c r="D26" s="94">
        <f>D27+D29+D31+D33</f>
        <v>184490.5</v>
      </c>
      <c r="E26" s="94">
        <f t="shared" ref="E26:F26" si="0">E27+E29+E31+E33</f>
        <v>189254.2</v>
      </c>
      <c r="F26" s="94">
        <f t="shared" si="0"/>
        <v>196679.9</v>
      </c>
      <c r="G26" s="103"/>
    </row>
    <row r="27" spans="1:7" ht="51" customHeight="1" x14ac:dyDescent="0.2">
      <c r="A27" s="21" t="s">
        <v>379</v>
      </c>
      <c r="B27" s="21"/>
      <c r="C27" s="98" t="s">
        <v>378</v>
      </c>
      <c r="D27" s="94">
        <f>D28</f>
        <v>109172.3</v>
      </c>
      <c r="E27" s="94">
        <f t="shared" ref="E27:F27" si="1">E28</f>
        <v>116433.09999999999</v>
      </c>
      <c r="F27" s="94">
        <f t="shared" si="1"/>
        <v>123858.79999999999</v>
      </c>
      <c r="G27" s="103"/>
    </row>
    <row r="28" spans="1:7" x14ac:dyDescent="0.2">
      <c r="A28" s="21" t="s">
        <v>379</v>
      </c>
      <c r="B28" s="21" t="s">
        <v>225</v>
      </c>
      <c r="C28" s="98" t="s">
        <v>224</v>
      </c>
      <c r="D28" s="1">
        <f>94397.6+6694.2+8080.5</f>
        <v>109172.3</v>
      </c>
      <c r="E28" s="1">
        <f>94400.5+6555.7+15476.9</f>
        <v>116433.09999999999</v>
      </c>
      <c r="F28" s="1">
        <f>94400.5+6555.7+22902.6</f>
        <v>123858.79999999999</v>
      </c>
      <c r="G28" s="103"/>
    </row>
    <row r="29" spans="1:7" ht="64.5" customHeight="1" x14ac:dyDescent="0.25">
      <c r="A29" s="131" t="s">
        <v>381</v>
      </c>
      <c r="B29" s="21"/>
      <c r="C29" s="98" t="s">
        <v>380</v>
      </c>
      <c r="D29" s="94">
        <f>D30</f>
        <v>74539.600000000006</v>
      </c>
      <c r="E29" s="94">
        <f t="shared" ref="E29:F29" si="2">E30</f>
        <v>72821.100000000006</v>
      </c>
      <c r="F29" s="94">
        <f t="shared" si="2"/>
        <v>72821.100000000006</v>
      </c>
      <c r="G29" s="103"/>
    </row>
    <row r="30" spans="1:7" ht="15" x14ac:dyDescent="0.25">
      <c r="A30" s="131" t="s">
        <v>381</v>
      </c>
      <c r="B30" s="21" t="s">
        <v>225</v>
      </c>
      <c r="C30" s="98" t="s">
        <v>224</v>
      </c>
      <c r="D30" s="94">
        <f>72821.1+2851.3-1125-7.8</f>
        <v>74539.600000000006</v>
      </c>
      <c r="E30" s="94">
        <v>72821.100000000006</v>
      </c>
      <c r="F30" s="94">
        <v>72821.100000000006</v>
      </c>
      <c r="G30" s="103"/>
    </row>
    <row r="31" spans="1:7" s="211" customFormat="1" ht="51" x14ac:dyDescent="0.25">
      <c r="A31" s="205" t="s">
        <v>808</v>
      </c>
      <c r="B31" s="21"/>
      <c r="C31" s="98" t="s">
        <v>809</v>
      </c>
      <c r="D31" s="94">
        <f>D32</f>
        <v>770.8</v>
      </c>
      <c r="E31" s="94">
        <f t="shared" ref="E31:F31" si="3">E32</f>
        <v>0</v>
      </c>
      <c r="F31" s="94">
        <f t="shared" si="3"/>
        <v>0</v>
      </c>
      <c r="G31" s="103"/>
    </row>
    <row r="32" spans="1:7" s="211" customFormat="1" ht="15" x14ac:dyDescent="0.25">
      <c r="A32" s="204" t="s">
        <v>808</v>
      </c>
      <c r="B32" s="21" t="s">
        <v>225</v>
      </c>
      <c r="C32" s="98" t="s">
        <v>224</v>
      </c>
      <c r="D32" s="39">
        <v>770.8</v>
      </c>
      <c r="E32" s="39">
        <v>0</v>
      </c>
      <c r="F32" s="39">
        <v>0</v>
      </c>
      <c r="G32" s="103"/>
    </row>
    <row r="33" spans="1:7" s="211" customFormat="1" ht="53.25" customHeight="1" x14ac:dyDescent="0.25">
      <c r="A33" s="205" t="s">
        <v>810</v>
      </c>
      <c r="B33" s="21"/>
      <c r="C33" s="108" t="s">
        <v>811</v>
      </c>
      <c r="D33" s="94">
        <f>D34</f>
        <v>7.8</v>
      </c>
      <c r="E33" s="94">
        <f t="shared" ref="E33:F33" si="4">E34</f>
        <v>0</v>
      </c>
      <c r="F33" s="94">
        <f t="shared" si="4"/>
        <v>0</v>
      </c>
      <c r="G33" s="103"/>
    </row>
    <row r="34" spans="1:7" s="211" customFormat="1" ht="15" x14ac:dyDescent="0.25">
      <c r="A34" s="205" t="s">
        <v>810</v>
      </c>
      <c r="B34" s="21" t="s">
        <v>225</v>
      </c>
      <c r="C34" s="98" t="s">
        <v>224</v>
      </c>
      <c r="D34" s="1">
        <v>7.8</v>
      </c>
      <c r="E34" s="94">
        <v>0</v>
      </c>
      <c r="F34" s="94">
        <v>0</v>
      </c>
      <c r="G34" s="103"/>
    </row>
    <row r="35" spans="1:7" ht="26.25" customHeight="1" x14ac:dyDescent="0.2">
      <c r="A35" s="21" t="s">
        <v>282</v>
      </c>
      <c r="B35" s="35"/>
      <c r="C35" s="97" t="s">
        <v>382</v>
      </c>
      <c r="D35" s="94">
        <f>D36+D38+D40+D42</f>
        <v>522.20000000000005</v>
      </c>
      <c r="E35" s="94">
        <f t="shared" ref="E35:F35" si="5">E36+E38+E40+E42</f>
        <v>1500</v>
      </c>
      <c r="F35" s="94">
        <f t="shared" si="5"/>
        <v>0</v>
      </c>
      <c r="G35" s="103"/>
    </row>
    <row r="36" spans="1:7" ht="52.5" customHeight="1" x14ac:dyDescent="0.2">
      <c r="A36" s="21" t="s">
        <v>384</v>
      </c>
      <c r="B36" s="57"/>
      <c r="C36" s="97" t="s">
        <v>383</v>
      </c>
      <c r="D36" s="94">
        <f>D37</f>
        <v>342.9</v>
      </c>
      <c r="E36" s="94">
        <f t="shared" ref="E36:F36" si="6">E37</f>
        <v>0</v>
      </c>
      <c r="F36" s="94">
        <f t="shared" si="6"/>
        <v>0</v>
      </c>
      <c r="G36" s="103"/>
    </row>
    <row r="37" spans="1:7" x14ac:dyDescent="0.2">
      <c r="A37" s="21" t="s">
        <v>384</v>
      </c>
      <c r="B37" s="21" t="s">
        <v>225</v>
      </c>
      <c r="C37" s="98" t="s">
        <v>224</v>
      </c>
      <c r="D37" s="94">
        <f>120+22.9+200</f>
        <v>342.9</v>
      </c>
      <c r="E37" s="94">
        <v>0</v>
      </c>
      <c r="F37" s="94">
        <v>0</v>
      </c>
      <c r="G37" s="103"/>
    </row>
    <row r="38" spans="1:7" ht="54" customHeight="1" x14ac:dyDescent="0.2">
      <c r="A38" s="57" t="s">
        <v>703</v>
      </c>
      <c r="B38" s="21"/>
      <c r="C38" s="98" t="s">
        <v>704</v>
      </c>
      <c r="D38" s="94">
        <f t="shared" ref="D38:F38" si="7">D39</f>
        <v>179.3</v>
      </c>
      <c r="E38" s="94">
        <f t="shared" si="7"/>
        <v>0</v>
      </c>
      <c r="F38" s="94">
        <f t="shared" si="7"/>
        <v>0</v>
      </c>
      <c r="G38" s="103"/>
    </row>
    <row r="39" spans="1:7" x14ac:dyDescent="0.2">
      <c r="A39" s="57" t="s">
        <v>703</v>
      </c>
      <c r="B39" s="21" t="s">
        <v>225</v>
      </c>
      <c r="C39" s="98" t="s">
        <v>224</v>
      </c>
      <c r="D39" s="94">
        <v>179.3</v>
      </c>
      <c r="E39" s="94">
        <f t="shared" ref="E39:F39" si="8">150-150</f>
        <v>0</v>
      </c>
      <c r="F39" s="94">
        <f t="shared" si="8"/>
        <v>0</v>
      </c>
      <c r="G39" s="103"/>
    </row>
    <row r="40" spans="1:7" s="210" customFormat="1" ht="52.5" customHeight="1" x14ac:dyDescent="0.2">
      <c r="A40" s="57" t="s">
        <v>823</v>
      </c>
      <c r="B40" s="21"/>
      <c r="C40" s="98" t="s">
        <v>824</v>
      </c>
      <c r="D40" s="94">
        <f>D41</f>
        <v>0</v>
      </c>
      <c r="E40" s="94">
        <f t="shared" ref="E40:F40" si="9">E41</f>
        <v>15</v>
      </c>
      <c r="F40" s="94">
        <f t="shared" si="9"/>
        <v>0</v>
      </c>
      <c r="G40" s="103"/>
    </row>
    <row r="41" spans="1:7" s="210" customFormat="1" x14ac:dyDescent="0.2">
      <c r="A41" s="57" t="s">
        <v>823</v>
      </c>
      <c r="B41" s="21" t="s">
        <v>225</v>
      </c>
      <c r="C41" s="98" t="s">
        <v>224</v>
      </c>
      <c r="D41" s="94">
        <v>0</v>
      </c>
      <c r="E41" s="94">
        <v>15</v>
      </c>
      <c r="F41" s="94">
        <v>0</v>
      </c>
      <c r="G41" s="103"/>
    </row>
    <row r="42" spans="1:7" s="216" customFormat="1" ht="57" customHeight="1" x14ac:dyDescent="0.2">
      <c r="A42" s="57" t="s">
        <v>825</v>
      </c>
      <c r="B42" s="21"/>
      <c r="C42" s="98" t="s">
        <v>824</v>
      </c>
      <c r="D42" s="94">
        <f>D43</f>
        <v>0</v>
      </c>
      <c r="E42" s="94">
        <f t="shared" ref="E42:F42" si="10">E43</f>
        <v>1485</v>
      </c>
      <c r="F42" s="94">
        <f t="shared" si="10"/>
        <v>0</v>
      </c>
      <c r="G42" s="103"/>
    </row>
    <row r="43" spans="1:7" s="216" customFormat="1" x14ac:dyDescent="0.2">
      <c r="A43" s="57" t="s">
        <v>825</v>
      </c>
      <c r="B43" s="21" t="s">
        <v>225</v>
      </c>
      <c r="C43" s="98" t="s">
        <v>224</v>
      </c>
      <c r="D43" s="94">
        <v>0</v>
      </c>
      <c r="E43" s="94">
        <v>1485</v>
      </c>
      <c r="F43" s="94">
        <v>0</v>
      </c>
      <c r="G43" s="103"/>
    </row>
    <row r="44" spans="1:7" ht="25.5" x14ac:dyDescent="0.2">
      <c r="A44" s="21" t="s">
        <v>283</v>
      </c>
      <c r="B44" s="21"/>
      <c r="C44" s="97" t="s">
        <v>385</v>
      </c>
      <c r="D44" s="94">
        <f>D45</f>
        <v>12044.699999999999</v>
      </c>
      <c r="E44" s="94">
        <f>E45</f>
        <v>13017.3</v>
      </c>
      <c r="F44" s="94">
        <f>F45</f>
        <v>13017.3</v>
      </c>
      <c r="G44" s="103"/>
    </row>
    <row r="45" spans="1:7" ht="78.75" customHeight="1" x14ac:dyDescent="0.2">
      <c r="A45" s="57" t="s">
        <v>387</v>
      </c>
      <c r="B45" s="21"/>
      <c r="C45" s="98" t="s">
        <v>386</v>
      </c>
      <c r="D45" s="94">
        <f>D46+D47</f>
        <v>12044.699999999999</v>
      </c>
      <c r="E45" s="94">
        <f>E46+E47</f>
        <v>13017.3</v>
      </c>
      <c r="F45" s="94">
        <f>F46+F47</f>
        <v>13017.3</v>
      </c>
      <c r="G45" s="103"/>
    </row>
    <row r="46" spans="1:7" ht="38.25" x14ac:dyDescent="0.2">
      <c r="A46" s="57" t="s">
        <v>387</v>
      </c>
      <c r="B46" s="82" t="s">
        <v>211</v>
      </c>
      <c r="C46" s="98" t="s">
        <v>212</v>
      </c>
      <c r="D46" s="94">
        <v>330</v>
      </c>
      <c r="E46" s="94">
        <v>330</v>
      </c>
      <c r="F46" s="94">
        <v>330</v>
      </c>
      <c r="G46" s="103"/>
    </row>
    <row r="47" spans="1:7" ht="25.5" customHeight="1" x14ac:dyDescent="0.2">
      <c r="A47" s="57" t="s">
        <v>387</v>
      </c>
      <c r="B47" s="82" t="s">
        <v>260</v>
      </c>
      <c r="C47" s="98" t="s">
        <v>249</v>
      </c>
      <c r="D47" s="94">
        <f>12687.3-972.6</f>
        <v>11714.699999999999</v>
      </c>
      <c r="E47" s="94">
        <v>12687.3</v>
      </c>
      <c r="F47" s="94">
        <v>12687.3</v>
      </c>
      <c r="G47" s="103"/>
    </row>
    <row r="48" spans="1:7" ht="38.25" x14ac:dyDescent="0.2">
      <c r="A48" s="52" t="s">
        <v>75</v>
      </c>
      <c r="B48" s="21"/>
      <c r="C48" s="46" t="s">
        <v>559</v>
      </c>
      <c r="D48" s="94">
        <f>D49+D62+D71+D78+D93+D104+D107</f>
        <v>500701.00000000006</v>
      </c>
      <c r="E48" s="94">
        <f>E49+E62+E71+E78+E93+E104+E107</f>
        <v>487335.9</v>
      </c>
      <c r="F48" s="94">
        <f>F49+F62+F71+F78+F93+F104+F107</f>
        <v>509044.2</v>
      </c>
      <c r="G48" s="103"/>
    </row>
    <row r="49" spans="1:7" ht="51" x14ac:dyDescent="0.2">
      <c r="A49" s="21" t="s">
        <v>287</v>
      </c>
      <c r="B49" s="35"/>
      <c r="C49" s="97" t="s">
        <v>390</v>
      </c>
      <c r="D49" s="94">
        <f>D50+D52+D54+D56+D58+D60</f>
        <v>431905.30000000005</v>
      </c>
      <c r="E49" s="94">
        <f t="shared" ref="E49:F49" si="11">E50+E52+E54+E56+E58+E60</f>
        <v>431665.4</v>
      </c>
      <c r="F49" s="94">
        <f t="shared" si="11"/>
        <v>450208</v>
      </c>
      <c r="G49" s="103"/>
    </row>
    <row r="50" spans="1:7" ht="66.75" customHeight="1" x14ac:dyDescent="0.2">
      <c r="A50" s="82" t="s">
        <v>392</v>
      </c>
      <c r="B50" s="82"/>
      <c r="C50" s="98" t="s">
        <v>391</v>
      </c>
      <c r="D50" s="94">
        <f>D51</f>
        <v>304307.20000000001</v>
      </c>
      <c r="E50" s="94">
        <f>E51</f>
        <v>325234.90000000002</v>
      </c>
      <c r="F50" s="94">
        <f>F51</f>
        <v>343777.5</v>
      </c>
      <c r="G50" s="103"/>
    </row>
    <row r="51" spans="1:7" x14ac:dyDescent="0.2">
      <c r="A51" s="57" t="s">
        <v>392</v>
      </c>
      <c r="B51" s="21" t="s">
        <v>225</v>
      </c>
      <c r="C51" s="98" t="s">
        <v>224</v>
      </c>
      <c r="D51" s="39">
        <f>250542.2-2+17608.2+36158.8</f>
        <v>304307.20000000001</v>
      </c>
      <c r="E51" s="39">
        <f>250596.1+0.2+17078.2+57560.4</f>
        <v>325234.90000000002</v>
      </c>
      <c r="F51" s="39">
        <f>250596.1+0.2+17078.2+76103</f>
        <v>343777.5</v>
      </c>
      <c r="G51" s="103"/>
    </row>
    <row r="52" spans="1:7" ht="66.75" customHeight="1" x14ac:dyDescent="0.2">
      <c r="A52" s="57" t="s">
        <v>393</v>
      </c>
      <c r="B52" s="21"/>
      <c r="C52" s="98" t="s">
        <v>286</v>
      </c>
      <c r="D52" s="94">
        <f>D53</f>
        <v>97099.199999999997</v>
      </c>
      <c r="E52" s="94">
        <f>E53</f>
        <v>90572.1</v>
      </c>
      <c r="F52" s="94">
        <f>F53</f>
        <v>90572.1</v>
      </c>
      <c r="G52" s="103"/>
    </row>
    <row r="53" spans="1:7" x14ac:dyDescent="0.2">
      <c r="A53" s="57" t="s">
        <v>393</v>
      </c>
      <c r="B53" s="21" t="s">
        <v>225</v>
      </c>
      <c r="C53" s="98" t="s">
        <v>224</v>
      </c>
      <c r="D53" s="94">
        <f>90572.1+3801.7+1686.2+1045.7-6.5</f>
        <v>97099.199999999997</v>
      </c>
      <c r="E53" s="94">
        <v>90572.1</v>
      </c>
      <c r="F53" s="94">
        <v>90572.1</v>
      </c>
      <c r="G53" s="103"/>
    </row>
    <row r="54" spans="1:7" ht="49.5" customHeight="1" x14ac:dyDescent="0.2">
      <c r="A54" s="57" t="s">
        <v>747</v>
      </c>
      <c r="B54" s="21"/>
      <c r="C54" s="98" t="s">
        <v>394</v>
      </c>
      <c r="D54" s="94">
        <f>D55</f>
        <v>29542.400000000001</v>
      </c>
      <c r="E54" s="94">
        <f>E55</f>
        <v>15858.4</v>
      </c>
      <c r="F54" s="94">
        <f>F55</f>
        <v>15858.4</v>
      </c>
      <c r="G54" s="103"/>
    </row>
    <row r="55" spans="1:7" x14ac:dyDescent="0.2">
      <c r="A55" s="57" t="s">
        <v>747</v>
      </c>
      <c r="B55" s="21" t="s">
        <v>225</v>
      </c>
      <c r="C55" s="98" t="s">
        <v>224</v>
      </c>
      <c r="D55" s="1">
        <f>15858.4+13684</f>
        <v>29542.400000000001</v>
      </c>
      <c r="E55" s="1">
        <v>15858.4</v>
      </c>
      <c r="F55" s="1">
        <v>15858.4</v>
      </c>
      <c r="G55" s="103"/>
    </row>
    <row r="56" spans="1:7" s="197" customFormat="1" ht="63.75" x14ac:dyDescent="0.2">
      <c r="A56" s="57" t="s">
        <v>804</v>
      </c>
      <c r="B56" s="21"/>
      <c r="C56" s="98" t="s">
        <v>803</v>
      </c>
      <c r="D56" s="1">
        <f>D57</f>
        <v>312.5</v>
      </c>
      <c r="E56" s="1">
        <f t="shared" ref="E56:F56" si="12">E57</f>
        <v>0</v>
      </c>
      <c r="F56" s="1">
        <f t="shared" si="12"/>
        <v>0</v>
      </c>
      <c r="G56" s="103"/>
    </row>
    <row r="57" spans="1:7" s="197" customFormat="1" x14ac:dyDescent="0.2">
      <c r="A57" s="57" t="s">
        <v>804</v>
      </c>
      <c r="B57" s="21" t="s">
        <v>225</v>
      </c>
      <c r="C57" s="98" t="s">
        <v>224</v>
      </c>
      <c r="D57" s="1">
        <v>312.5</v>
      </c>
      <c r="E57" s="1">
        <v>0</v>
      </c>
      <c r="F57" s="1">
        <v>0</v>
      </c>
      <c r="G57" s="103"/>
    </row>
    <row r="58" spans="1:7" s="211" customFormat="1" ht="51.75" x14ac:dyDescent="0.25">
      <c r="A58" s="205" t="s">
        <v>812</v>
      </c>
      <c r="B58" s="21"/>
      <c r="C58" s="108" t="s">
        <v>813</v>
      </c>
      <c r="D58" s="39">
        <f>D59</f>
        <v>637.5</v>
      </c>
      <c r="E58" s="39">
        <f t="shared" ref="E58:F58" si="13">E59</f>
        <v>0</v>
      </c>
      <c r="F58" s="39">
        <f t="shared" si="13"/>
        <v>0</v>
      </c>
      <c r="G58" s="103"/>
    </row>
    <row r="59" spans="1:7" s="211" customFormat="1" ht="15" x14ac:dyDescent="0.25">
      <c r="A59" s="205" t="s">
        <v>812</v>
      </c>
      <c r="B59" s="21" t="s">
        <v>225</v>
      </c>
      <c r="C59" s="98" t="s">
        <v>224</v>
      </c>
      <c r="D59" s="1">
        <v>637.5</v>
      </c>
      <c r="E59" s="1">
        <v>0</v>
      </c>
      <c r="F59" s="1">
        <v>0</v>
      </c>
      <c r="G59" s="103"/>
    </row>
    <row r="60" spans="1:7" s="211" customFormat="1" ht="51" customHeight="1" x14ac:dyDescent="0.25">
      <c r="A60" s="205" t="s">
        <v>814</v>
      </c>
      <c r="B60" s="21"/>
      <c r="C60" s="108" t="s">
        <v>815</v>
      </c>
      <c r="D60" s="1">
        <f>D61</f>
        <v>6.5</v>
      </c>
      <c r="E60" s="1">
        <f t="shared" ref="E60:F60" si="14">E61</f>
        <v>0</v>
      </c>
      <c r="F60" s="1">
        <f t="shared" si="14"/>
        <v>0</v>
      </c>
      <c r="G60" s="103"/>
    </row>
    <row r="61" spans="1:7" s="211" customFormat="1" ht="15" x14ac:dyDescent="0.25">
      <c r="A61" s="205" t="s">
        <v>814</v>
      </c>
      <c r="B61" s="21" t="s">
        <v>225</v>
      </c>
      <c r="C61" s="98" t="s">
        <v>224</v>
      </c>
      <c r="D61" s="1">
        <v>6.5</v>
      </c>
      <c r="E61" s="39">
        <v>0</v>
      </c>
      <c r="F61" s="39">
        <v>0</v>
      </c>
      <c r="G61" s="103"/>
    </row>
    <row r="62" spans="1:7" ht="37.5" customHeight="1" x14ac:dyDescent="0.2">
      <c r="A62" s="21" t="s">
        <v>396</v>
      </c>
      <c r="B62" s="82"/>
      <c r="C62" s="97" t="s">
        <v>395</v>
      </c>
      <c r="D62" s="94">
        <f>D63+D65+D67+D69</f>
        <v>5244.9</v>
      </c>
      <c r="E62" s="94">
        <f t="shared" ref="E62:F62" si="15">E63+E65+E67+E69</f>
        <v>0</v>
      </c>
      <c r="F62" s="94">
        <f t="shared" si="15"/>
        <v>0</v>
      </c>
      <c r="G62" s="103"/>
    </row>
    <row r="63" spans="1:7" ht="51" customHeight="1" x14ac:dyDescent="0.2">
      <c r="A63" s="57" t="s">
        <v>397</v>
      </c>
      <c r="B63" s="21"/>
      <c r="C63" s="98" t="s">
        <v>398</v>
      </c>
      <c r="D63" s="94">
        <f>D64</f>
        <v>1154</v>
      </c>
      <c r="E63" s="94">
        <f>E64</f>
        <v>0</v>
      </c>
      <c r="F63" s="94">
        <f>F64</f>
        <v>0</v>
      </c>
      <c r="G63" s="103"/>
    </row>
    <row r="64" spans="1:7" x14ac:dyDescent="0.2">
      <c r="A64" s="57" t="s">
        <v>397</v>
      </c>
      <c r="B64" s="21" t="s">
        <v>225</v>
      </c>
      <c r="C64" s="98" t="s">
        <v>224</v>
      </c>
      <c r="D64" s="94">
        <f>454+120.2+700-20.2-100</f>
        <v>1154</v>
      </c>
      <c r="E64" s="94">
        <v>0</v>
      </c>
      <c r="F64" s="94">
        <v>0</v>
      </c>
      <c r="G64" s="103"/>
    </row>
    <row r="65" spans="1:7" ht="51.75" customHeight="1" x14ac:dyDescent="0.2">
      <c r="A65" s="57" t="s">
        <v>399</v>
      </c>
      <c r="B65" s="57"/>
      <c r="C65" s="124" t="s">
        <v>400</v>
      </c>
      <c r="D65" s="94">
        <f>D66</f>
        <v>2249.4</v>
      </c>
      <c r="E65" s="94">
        <f>E66</f>
        <v>0</v>
      </c>
      <c r="F65" s="94">
        <f>F66</f>
        <v>0</v>
      </c>
      <c r="G65" s="103"/>
    </row>
    <row r="66" spans="1:7" x14ac:dyDescent="0.2">
      <c r="A66" s="57" t="s">
        <v>399</v>
      </c>
      <c r="B66" s="21" t="s">
        <v>225</v>
      </c>
      <c r="C66" s="98" t="s">
        <v>224</v>
      </c>
      <c r="D66" s="94">
        <f>864.7+1036-120.2+369.4+99.5</f>
        <v>2249.4</v>
      </c>
      <c r="E66" s="94">
        <v>0</v>
      </c>
      <c r="F66" s="94">
        <v>0</v>
      </c>
      <c r="G66" s="103"/>
    </row>
    <row r="67" spans="1:7" ht="42" customHeight="1" x14ac:dyDescent="0.2">
      <c r="A67" s="57" t="s">
        <v>609</v>
      </c>
      <c r="B67" s="21"/>
      <c r="C67" s="98" t="s">
        <v>610</v>
      </c>
      <c r="D67" s="94">
        <f>D68</f>
        <v>841.5</v>
      </c>
      <c r="E67" s="94">
        <f t="shared" ref="E67:F67" si="16">E68</f>
        <v>0</v>
      </c>
      <c r="F67" s="94">
        <f t="shared" si="16"/>
        <v>0</v>
      </c>
      <c r="G67" s="103"/>
    </row>
    <row r="68" spans="1:7" x14ac:dyDescent="0.2">
      <c r="A68" s="57" t="s">
        <v>609</v>
      </c>
      <c r="B68" s="21" t="s">
        <v>225</v>
      </c>
      <c r="C68" s="98" t="s">
        <v>224</v>
      </c>
      <c r="D68" s="94">
        <f>500+341.5</f>
        <v>841.5</v>
      </c>
      <c r="E68" s="94">
        <v>0</v>
      </c>
      <c r="F68" s="94">
        <v>0</v>
      </c>
      <c r="G68" s="103"/>
    </row>
    <row r="69" spans="1:7" ht="51" x14ac:dyDescent="0.2">
      <c r="A69" s="57" t="s">
        <v>741</v>
      </c>
      <c r="B69" s="21"/>
      <c r="C69" s="98" t="s">
        <v>742</v>
      </c>
      <c r="D69" s="94">
        <f>D70</f>
        <v>1000</v>
      </c>
      <c r="E69" s="94">
        <f t="shared" ref="E69:F69" si="17">E70</f>
        <v>0</v>
      </c>
      <c r="F69" s="94">
        <f t="shared" si="17"/>
        <v>0</v>
      </c>
      <c r="G69" s="103"/>
    </row>
    <row r="70" spans="1:7" x14ac:dyDescent="0.2">
      <c r="A70" s="57" t="s">
        <v>741</v>
      </c>
      <c r="B70" s="21" t="s">
        <v>225</v>
      </c>
      <c r="C70" s="98" t="s">
        <v>224</v>
      </c>
      <c r="D70" s="94">
        <v>1000</v>
      </c>
      <c r="E70" s="94">
        <v>0</v>
      </c>
      <c r="F70" s="94">
        <v>0</v>
      </c>
      <c r="G70" s="103"/>
    </row>
    <row r="71" spans="1:7" ht="50.25" customHeight="1" x14ac:dyDescent="0.2">
      <c r="A71" s="21" t="s">
        <v>401</v>
      </c>
      <c r="B71" s="21"/>
      <c r="C71" s="97" t="s">
        <v>735</v>
      </c>
      <c r="D71" s="94">
        <f>D72+D74+D76</f>
        <v>26779.7</v>
      </c>
      <c r="E71" s="94">
        <f>E72+E74+E76</f>
        <v>28469</v>
      </c>
      <c r="F71" s="94">
        <f>F72+F74+F76</f>
        <v>26563.8</v>
      </c>
      <c r="G71" s="103"/>
    </row>
    <row r="72" spans="1:7" ht="35.25" customHeight="1" x14ac:dyDescent="0.2">
      <c r="A72" s="57" t="s">
        <v>402</v>
      </c>
      <c r="B72" s="21"/>
      <c r="C72" s="98" t="s">
        <v>307</v>
      </c>
      <c r="D72" s="94">
        <f>D73</f>
        <v>5242.3</v>
      </c>
      <c r="E72" s="94">
        <f>E73</f>
        <v>5242.3</v>
      </c>
      <c r="F72" s="94">
        <f>F73</f>
        <v>5242.3</v>
      </c>
      <c r="G72" s="103"/>
    </row>
    <row r="73" spans="1:7" x14ac:dyDescent="0.2">
      <c r="A73" s="57" t="s">
        <v>402</v>
      </c>
      <c r="B73" s="21" t="s">
        <v>225</v>
      </c>
      <c r="C73" s="98" t="s">
        <v>224</v>
      </c>
      <c r="D73" s="39">
        <v>5242.3</v>
      </c>
      <c r="E73" s="39">
        <v>5242.3</v>
      </c>
      <c r="F73" s="39">
        <v>5242.3</v>
      </c>
      <c r="G73" s="103"/>
    </row>
    <row r="74" spans="1:7" ht="65.25" customHeight="1" x14ac:dyDescent="0.2">
      <c r="A74" s="21" t="s">
        <v>403</v>
      </c>
      <c r="B74" s="21"/>
      <c r="C74" s="98" t="s">
        <v>135</v>
      </c>
      <c r="D74" s="94">
        <f>D75</f>
        <v>21321.5</v>
      </c>
      <c r="E74" s="94">
        <f>E75</f>
        <v>23166.799999999999</v>
      </c>
      <c r="F74" s="94">
        <f>F75</f>
        <v>21321.5</v>
      </c>
      <c r="G74" s="103"/>
    </row>
    <row r="75" spans="1:7" x14ac:dyDescent="0.2">
      <c r="A75" s="21" t="s">
        <v>403</v>
      </c>
      <c r="B75" s="21" t="s">
        <v>225</v>
      </c>
      <c r="C75" s="98" t="s">
        <v>224</v>
      </c>
      <c r="D75" s="94">
        <v>21321.5</v>
      </c>
      <c r="E75" s="94">
        <f>21321.5+1845.3</f>
        <v>23166.799999999999</v>
      </c>
      <c r="F75" s="94">
        <v>21321.5</v>
      </c>
      <c r="G75" s="103"/>
    </row>
    <row r="76" spans="1:7" ht="52.5" customHeight="1" x14ac:dyDescent="0.2">
      <c r="A76" s="21" t="s">
        <v>404</v>
      </c>
      <c r="B76" s="21"/>
      <c r="C76" s="98" t="s">
        <v>569</v>
      </c>
      <c r="D76" s="94">
        <f>D77</f>
        <v>215.9</v>
      </c>
      <c r="E76" s="94">
        <f>E77</f>
        <v>59.900000000000006</v>
      </c>
      <c r="F76" s="94">
        <f>F77</f>
        <v>0</v>
      </c>
      <c r="G76" s="103"/>
    </row>
    <row r="77" spans="1:7" x14ac:dyDescent="0.2">
      <c r="A77" s="21" t="s">
        <v>404</v>
      </c>
      <c r="B77" s="21" t="s">
        <v>225</v>
      </c>
      <c r="C77" s="98" t="s">
        <v>224</v>
      </c>
      <c r="D77" s="41">
        <f>240-24.1</f>
        <v>215.9</v>
      </c>
      <c r="E77" s="41">
        <f>74.9-15</f>
        <v>59.900000000000006</v>
      </c>
      <c r="F77" s="41">
        <v>0</v>
      </c>
      <c r="G77" s="103"/>
    </row>
    <row r="78" spans="1:7" ht="51" x14ac:dyDescent="0.2">
      <c r="A78" s="21" t="s">
        <v>405</v>
      </c>
      <c r="B78" s="21"/>
      <c r="C78" s="97" t="s">
        <v>406</v>
      </c>
      <c r="D78" s="41">
        <f>D79+D81+D84+D86+D89+D91</f>
        <v>30558</v>
      </c>
      <c r="E78" s="41">
        <f t="shared" ref="E78:F78" si="18">E79+E81+E84+E86+E89+E91</f>
        <v>24383.4</v>
      </c>
      <c r="F78" s="41">
        <f t="shared" si="18"/>
        <v>28918.000000000004</v>
      </c>
      <c r="G78" s="103"/>
    </row>
    <row r="79" spans="1:7" ht="53.25" customHeight="1" x14ac:dyDescent="0.2">
      <c r="A79" s="21" t="s">
        <v>643</v>
      </c>
      <c r="B79" s="82"/>
      <c r="C79" s="55" t="s">
        <v>371</v>
      </c>
      <c r="D79" s="41">
        <f>D80</f>
        <v>19143.3</v>
      </c>
      <c r="E79" s="41">
        <f>E80</f>
        <v>18674.599999999999</v>
      </c>
      <c r="F79" s="41">
        <f>F80</f>
        <v>18296.400000000001</v>
      </c>
      <c r="G79" s="103"/>
    </row>
    <row r="80" spans="1:7" x14ac:dyDescent="0.2">
      <c r="A80" s="21" t="s">
        <v>643</v>
      </c>
      <c r="B80" s="21" t="s">
        <v>225</v>
      </c>
      <c r="C80" s="98" t="s">
        <v>224</v>
      </c>
      <c r="D80" s="39">
        <v>19143.3</v>
      </c>
      <c r="E80" s="39">
        <v>18674.599999999999</v>
      </c>
      <c r="F80" s="39">
        <v>18296.400000000001</v>
      </c>
      <c r="G80" s="103"/>
    </row>
    <row r="81" spans="1:13" ht="25.5" customHeight="1" x14ac:dyDescent="0.2">
      <c r="A81" s="57" t="s">
        <v>555</v>
      </c>
      <c r="B81" s="21"/>
      <c r="C81" s="98" t="s">
        <v>134</v>
      </c>
      <c r="D81" s="41">
        <f>SUM(D82:D83)</f>
        <v>186.7</v>
      </c>
      <c r="E81" s="41">
        <f>SUM(E82:E83)</f>
        <v>215.9</v>
      </c>
      <c r="F81" s="41">
        <f>SUM(F82:F83)</f>
        <v>215.9</v>
      </c>
      <c r="G81" s="103"/>
    </row>
    <row r="82" spans="1:13" ht="26.25" customHeight="1" x14ac:dyDescent="0.2">
      <c r="A82" s="57" t="s">
        <v>555</v>
      </c>
      <c r="B82" s="82" t="s">
        <v>64</v>
      </c>
      <c r="C82" s="55" t="s">
        <v>130</v>
      </c>
      <c r="D82" s="41">
        <v>88.5</v>
      </c>
      <c r="E82" s="41">
        <v>88.5</v>
      </c>
      <c r="F82" s="41">
        <v>88.5</v>
      </c>
      <c r="G82" s="103"/>
    </row>
    <row r="83" spans="1:13" ht="38.25" x14ac:dyDescent="0.2">
      <c r="A83" s="57" t="s">
        <v>555</v>
      </c>
      <c r="B83" s="82" t="s">
        <v>211</v>
      </c>
      <c r="C83" s="98" t="s">
        <v>212</v>
      </c>
      <c r="D83" s="41">
        <f>127.4-29.2</f>
        <v>98.2</v>
      </c>
      <c r="E83" s="41">
        <v>127.4</v>
      </c>
      <c r="F83" s="41">
        <v>127.4</v>
      </c>
      <c r="G83" s="103"/>
    </row>
    <row r="84" spans="1:13" x14ac:dyDescent="0.2">
      <c r="A84" s="57" t="s">
        <v>407</v>
      </c>
      <c r="B84" s="21"/>
      <c r="C84" s="98" t="s">
        <v>45</v>
      </c>
      <c r="D84" s="41">
        <f>D85</f>
        <v>3042.5</v>
      </c>
      <c r="E84" s="41">
        <f>E85</f>
        <v>3042.5</v>
      </c>
      <c r="F84" s="41">
        <f>F85</f>
        <v>3042.5</v>
      </c>
      <c r="G84" s="103"/>
    </row>
    <row r="85" spans="1:13" x14ac:dyDescent="0.2">
      <c r="A85" s="57" t="s">
        <v>407</v>
      </c>
      <c r="B85" s="21" t="s">
        <v>225</v>
      </c>
      <c r="C85" s="98" t="s">
        <v>224</v>
      </c>
      <c r="D85" s="41">
        <v>3042.5</v>
      </c>
      <c r="E85" s="41">
        <v>3042.5</v>
      </c>
      <c r="F85" s="41">
        <v>3042.5</v>
      </c>
      <c r="G85" s="103"/>
    </row>
    <row r="86" spans="1:13" ht="39" customHeight="1" x14ac:dyDescent="0.25">
      <c r="A86" s="57" t="s">
        <v>409</v>
      </c>
      <c r="B86" s="21"/>
      <c r="C86" s="98" t="s">
        <v>408</v>
      </c>
      <c r="D86" s="41">
        <f>SUM(D87:D88)</f>
        <v>2450.4</v>
      </c>
      <c r="E86" s="41">
        <f>SUM(E87:E88)</f>
        <v>2450.4</v>
      </c>
      <c r="F86" s="41">
        <f>SUM(F87:F88)</f>
        <v>2450.4</v>
      </c>
      <c r="G86" s="103"/>
      <c r="J86" s="144"/>
      <c r="K86" s="145"/>
      <c r="L86" s="145"/>
      <c r="M86" s="144"/>
    </row>
    <row r="87" spans="1:13" ht="38.25" x14ac:dyDescent="0.2">
      <c r="A87" s="57" t="s">
        <v>409</v>
      </c>
      <c r="B87" s="82" t="s">
        <v>211</v>
      </c>
      <c r="C87" s="98" t="s">
        <v>212</v>
      </c>
      <c r="D87" s="39">
        <v>200</v>
      </c>
      <c r="E87" s="39">
        <v>200</v>
      </c>
      <c r="F87" s="39">
        <v>200</v>
      </c>
      <c r="G87" s="103"/>
    </row>
    <row r="88" spans="1:13" x14ac:dyDescent="0.2">
      <c r="A88" s="57" t="s">
        <v>409</v>
      </c>
      <c r="B88" s="21" t="s">
        <v>225</v>
      </c>
      <c r="C88" s="98" t="s">
        <v>224</v>
      </c>
      <c r="D88" s="39">
        <v>2250.4</v>
      </c>
      <c r="E88" s="39">
        <v>2250.4</v>
      </c>
      <c r="F88" s="39">
        <v>2250.4</v>
      </c>
      <c r="G88" s="103"/>
    </row>
    <row r="89" spans="1:13" ht="54" customHeight="1" x14ac:dyDescent="0.2">
      <c r="A89" s="21" t="s">
        <v>550</v>
      </c>
      <c r="B89" s="21"/>
      <c r="C89" s="98" t="s">
        <v>551</v>
      </c>
      <c r="D89" s="41">
        <f>D90</f>
        <v>5052.5</v>
      </c>
      <c r="E89" s="41">
        <f t="shared" ref="E89:F91" si="19">E90</f>
        <v>0</v>
      </c>
      <c r="F89" s="41">
        <f t="shared" si="19"/>
        <v>4912.8</v>
      </c>
      <c r="G89" s="103"/>
    </row>
    <row r="90" spans="1:13" x14ac:dyDescent="0.2">
      <c r="A90" s="21" t="s">
        <v>550</v>
      </c>
      <c r="B90" s="21" t="s">
        <v>225</v>
      </c>
      <c r="C90" s="98" t="s">
        <v>224</v>
      </c>
      <c r="D90" s="41">
        <f>5252.5-200</f>
        <v>5052.5</v>
      </c>
      <c r="E90" s="41">
        <v>0</v>
      </c>
      <c r="F90" s="41">
        <v>4912.8</v>
      </c>
      <c r="G90" s="103"/>
    </row>
    <row r="91" spans="1:13" s="179" customFormat="1" ht="63.75" x14ac:dyDescent="0.2">
      <c r="A91" s="21" t="s">
        <v>777</v>
      </c>
      <c r="B91" s="21"/>
      <c r="C91" s="98" t="s">
        <v>778</v>
      </c>
      <c r="D91" s="41">
        <f>D92</f>
        <v>682.6</v>
      </c>
      <c r="E91" s="41">
        <f t="shared" si="19"/>
        <v>0</v>
      </c>
      <c r="F91" s="41">
        <f t="shared" si="19"/>
        <v>0</v>
      </c>
      <c r="G91" s="103"/>
    </row>
    <row r="92" spans="1:13" s="179" customFormat="1" x14ac:dyDescent="0.2">
      <c r="A92" s="21" t="s">
        <v>777</v>
      </c>
      <c r="B92" s="21" t="s">
        <v>225</v>
      </c>
      <c r="C92" s="98" t="s">
        <v>224</v>
      </c>
      <c r="D92" s="41">
        <f>200+24.1+458.5</f>
        <v>682.6</v>
      </c>
      <c r="E92" s="41">
        <v>0</v>
      </c>
      <c r="F92" s="41">
        <v>0</v>
      </c>
      <c r="G92" s="103"/>
    </row>
    <row r="93" spans="1:13" ht="38.25" x14ac:dyDescent="0.2">
      <c r="A93" s="57" t="s">
        <v>611</v>
      </c>
      <c r="B93" s="21"/>
      <c r="C93" s="148" t="s">
        <v>612</v>
      </c>
      <c r="D93" s="41">
        <f>D94+D96+D98+D100+D102</f>
        <v>1104.2</v>
      </c>
      <c r="E93" s="41">
        <f t="shared" ref="E93:F93" si="20">E94+E96+E98</f>
        <v>250</v>
      </c>
      <c r="F93" s="41">
        <f t="shared" si="20"/>
        <v>250</v>
      </c>
      <c r="G93" s="103"/>
    </row>
    <row r="94" spans="1:13" ht="51" customHeight="1" x14ac:dyDescent="0.2">
      <c r="A94" s="57" t="s">
        <v>677</v>
      </c>
      <c r="B94" s="21"/>
      <c r="C94" s="97" t="s">
        <v>678</v>
      </c>
      <c r="D94" s="41">
        <f>D95</f>
        <v>0</v>
      </c>
      <c r="E94" s="41">
        <f>E95</f>
        <v>250</v>
      </c>
      <c r="F94" s="41">
        <f>F95</f>
        <v>250</v>
      </c>
      <c r="G94" s="103"/>
    </row>
    <row r="95" spans="1:13" x14ac:dyDescent="0.2">
      <c r="A95" s="57" t="s">
        <v>677</v>
      </c>
      <c r="B95" s="21" t="s">
        <v>225</v>
      </c>
      <c r="C95" s="98" t="s">
        <v>224</v>
      </c>
      <c r="D95" s="41">
        <v>0</v>
      </c>
      <c r="E95" s="41">
        <v>250</v>
      </c>
      <c r="F95" s="41">
        <v>250</v>
      </c>
      <c r="G95" s="103"/>
    </row>
    <row r="96" spans="1:13" ht="51" x14ac:dyDescent="0.2">
      <c r="A96" s="57" t="s">
        <v>712</v>
      </c>
      <c r="B96" s="21"/>
      <c r="C96" s="97" t="s">
        <v>714</v>
      </c>
      <c r="D96" s="41">
        <f>D97</f>
        <v>208.1</v>
      </c>
      <c r="E96" s="41">
        <f t="shared" ref="E96:F96" si="21">E97</f>
        <v>0</v>
      </c>
      <c r="F96" s="41">
        <f t="shared" si="21"/>
        <v>0</v>
      </c>
      <c r="G96" s="103"/>
    </row>
    <row r="97" spans="1:7" x14ac:dyDescent="0.2">
      <c r="A97" s="57" t="s">
        <v>712</v>
      </c>
      <c r="B97" s="21" t="s">
        <v>225</v>
      </c>
      <c r="C97" s="98" t="s">
        <v>224</v>
      </c>
      <c r="D97" s="41">
        <f>125+90-6.9</f>
        <v>208.1</v>
      </c>
      <c r="E97" s="41">
        <v>0</v>
      </c>
      <c r="F97" s="41">
        <v>0</v>
      </c>
      <c r="G97" s="103"/>
    </row>
    <row r="98" spans="1:7" ht="38.25" x14ac:dyDescent="0.2">
      <c r="A98" s="57" t="s">
        <v>713</v>
      </c>
      <c r="B98" s="21"/>
      <c r="C98" s="97" t="s">
        <v>743</v>
      </c>
      <c r="D98" s="41">
        <f>D99</f>
        <v>215</v>
      </c>
      <c r="E98" s="41">
        <f t="shared" ref="E98:F98" si="22">E99</f>
        <v>0</v>
      </c>
      <c r="F98" s="41">
        <f t="shared" si="22"/>
        <v>0</v>
      </c>
      <c r="G98" s="103"/>
    </row>
    <row r="99" spans="1:7" x14ac:dyDescent="0.2">
      <c r="A99" s="57" t="s">
        <v>713</v>
      </c>
      <c r="B99" s="21" t="s">
        <v>225</v>
      </c>
      <c r="C99" s="98" t="s">
        <v>224</v>
      </c>
      <c r="D99" s="41">
        <f>125+90</f>
        <v>215</v>
      </c>
      <c r="E99" s="41">
        <v>0</v>
      </c>
      <c r="F99" s="41">
        <v>0</v>
      </c>
      <c r="G99" s="103"/>
    </row>
    <row r="100" spans="1:7" ht="51" x14ac:dyDescent="0.2">
      <c r="A100" s="57" t="s">
        <v>739</v>
      </c>
      <c r="B100" s="21"/>
      <c r="C100" s="97" t="s">
        <v>714</v>
      </c>
      <c r="D100" s="41">
        <f>D101</f>
        <v>377.5</v>
      </c>
      <c r="E100" s="41">
        <f t="shared" ref="E100:F100" si="23">E101</f>
        <v>0</v>
      </c>
      <c r="F100" s="41">
        <f t="shared" si="23"/>
        <v>0</v>
      </c>
      <c r="G100" s="103"/>
    </row>
    <row r="101" spans="1:7" x14ac:dyDescent="0.2">
      <c r="A101" s="57" t="s">
        <v>739</v>
      </c>
      <c r="B101" s="21" t="s">
        <v>225</v>
      </c>
      <c r="C101" s="98" t="s">
        <v>224</v>
      </c>
      <c r="D101" s="41">
        <v>377.5</v>
      </c>
      <c r="E101" s="41">
        <v>0</v>
      </c>
      <c r="F101" s="41">
        <v>0</v>
      </c>
      <c r="G101" s="103"/>
    </row>
    <row r="102" spans="1:7" ht="38.25" x14ac:dyDescent="0.2">
      <c r="A102" s="57" t="s">
        <v>740</v>
      </c>
      <c r="B102" s="21"/>
      <c r="C102" s="97" t="s">
        <v>743</v>
      </c>
      <c r="D102" s="41">
        <f>D103</f>
        <v>303.60000000000002</v>
      </c>
      <c r="E102" s="41">
        <f t="shared" ref="E102:F102" si="24">E103</f>
        <v>0</v>
      </c>
      <c r="F102" s="41">
        <f t="shared" si="24"/>
        <v>0</v>
      </c>
      <c r="G102" s="103"/>
    </row>
    <row r="103" spans="1:7" x14ac:dyDescent="0.2">
      <c r="A103" s="57" t="s">
        <v>740</v>
      </c>
      <c r="B103" s="21" t="s">
        <v>225</v>
      </c>
      <c r="C103" s="98" t="s">
        <v>224</v>
      </c>
      <c r="D103" s="41">
        <v>303.60000000000002</v>
      </c>
      <c r="E103" s="41">
        <v>0</v>
      </c>
      <c r="F103" s="41">
        <v>0</v>
      </c>
      <c r="G103" s="103"/>
    </row>
    <row r="104" spans="1:7" ht="51" x14ac:dyDescent="0.2">
      <c r="A104" s="57" t="s">
        <v>692</v>
      </c>
      <c r="B104" s="21"/>
      <c r="C104" s="98" t="s">
        <v>652</v>
      </c>
      <c r="D104" s="41">
        <f>D105</f>
        <v>2568.1</v>
      </c>
      <c r="E104" s="41">
        <f t="shared" ref="E104:F105" si="25">E105</f>
        <v>2568.1</v>
      </c>
      <c r="F104" s="41">
        <f t="shared" si="25"/>
        <v>3104.3999999999996</v>
      </c>
      <c r="G104" s="103"/>
    </row>
    <row r="105" spans="1:7" ht="63.75" x14ac:dyDescent="0.2">
      <c r="A105" s="57" t="s">
        <v>650</v>
      </c>
      <c r="B105" s="21"/>
      <c r="C105" s="98" t="s">
        <v>651</v>
      </c>
      <c r="D105" s="1">
        <f>D106</f>
        <v>2568.1</v>
      </c>
      <c r="E105" s="1">
        <f t="shared" si="25"/>
        <v>2568.1</v>
      </c>
      <c r="F105" s="1">
        <f t="shared" si="25"/>
        <v>3104.3999999999996</v>
      </c>
      <c r="G105" s="103"/>
    </row>
    <row r="106" spans="1:7" x14ac:dyDescent="0.2">
      <c r="A106" s="57" t="s">
        <v>650</v>
      </c>
      <c r="B106" s="21" t="s">
        <v>225</v>
      </c>
      <c r="C106" s="98" t="s">
        <v>224</v>
      </c>
      <c r="D106" s="1">
        <f>2567.6+0.5</f>
        <v>2568.1</v>
      </c>
      <c r="E106" s="1">
        <f>2567.6+0.5</f>
        <v>2568.1</v>
      </c>
      <c r="F106" s="1">
        <f>2567.6+536.8</f>
        <v>3104.3999999999996</v>
      </c>
      <c r="G106" s="103"/>
    </row>
    <row r="107" spans="1:7" ht="38.25" x14ac:dyDescent="0.2">
      <c r="A107" s="57" t="s">
        <v>693</v>
      </c>
      <c r="B107" s="21"/>
      <c r="C107" s="98" t="s">
        <v>694</v>
      </c>
      <c r="D107" s="39">
        <f>D108</f>
        <v>2540.8000000000002</v>
      </c>
      <c r="E107" s="1">
        <f t="shared" ref="E107:F107" si="26">E108</f>
        <v>0</v>
      </c>
      <c r="F107" s="1">
        <f t="shared" si="26"/>
        <v>0</v>
      </c>
      <c r="G107" s="103"/>
    </row>
    <row r="108" spans="1:7" ht="68.25" customHeight="1" x14ac:dyDescent="0.2">
      <c r="A108" s="57" t="s">
        <v>695</v>
      </c>
      <c r="B108" s="21"/>
      <c r="C108" s="98" t="s">
        <v>705</v>
      </c>
      <c r="D108" s="39">
        <f>D109</f>
        <v>2540.8000000000002</v>
      </c>
      <c r="E108" s="1">
        <f t="shared" ref="E108:F108" si="27">E109</f>
        <v>0</v>
      </c>
      <c r="F108" s="1">
        <f t="shared" si="27"/>
        <v>0</v>
      </c>
      <c r="G108" s="103"/>
    </row>
    <row r="109" spans="1:7" x14ac:dyDescent="0.2">
      <c r="A109" s="57" t="s">
        <v>695</v>
      </c>
      <c r="B109" s="21" t="s">
        <v>225</v>
      </c>
      <c r="C109" s="98" t="s">
        <v>224</v>
      </c>
      <c r="D109" s="1">
        <f>25.8+2515</f>
        <v>2540.8000000000002</v>
      </c>
      <c r="E109" s="1">
        <v>0</v>
      </c>
      <c r="F109" s="1">
        <v>0</v>
      </c>
      <c r="G109" s="103"/>
    </row>
    <row r="110" spans="1:7" ht="38.25" x14ac:dyDescent="0.2">
      <c r="A110" s="52" t="s">
        <v>410</v>
      </c>
      <c r="B110" s="35"/>
      <c r="C110" s="46" t="s">
        <v>411</v>
      </c>
      <c r="D110" s="94">
        <f>D111+D124</f>
        <v>56212.1</v>
      </c>
      <c r="E110" s="94">
        <f>E111+E124</f>
        <v>57540.6</v>
      </c>
      <c r="F110" s="94">
        <f>F111+F124</f>
        <v>59814.400000000001</v>
      </c>
      <c r="G110" s="103"/>
    </row>
    <row r="111" spans="1:7" ht="51" x14ac:dyDescent="0.2">
      <c r="A111" s="21" t="s">
        <v>415</v>
      </c>
      <c r="B111" s="21"/>
      <c r="C111" s="97" t="s">
        <v>412</v>
      </c>
      <c r="D111" s="41">
        <f>D112+D114+D116+D118+D120+D122</f>
        <v>55017.1</v>
      </c>
      <c r="E111" s="41">
        <f>E112+E114+E116+E118+E120+E122</f>
        <v>56345.599999999999</v>
      </c>
      <c r="F111" s="41">
        <f>F112+F114+F116+F118+F120+F122</f>
        <v>58619.4</v>
      </c>
      <c r="G111" s="103"/>
    </row>
    <row r="112" spans="1:7" ht="63" customHeight="1" x14ac:dyDescent="0.2">
      <c r="A112" s="57" t="s">
        <v>414</v>
      </c>
      <c r="B112" s="16"/>
      <c r="C112" s="98" t="s">
        <v>413</v>
      </c>
      <c r="D112" s="94">
        <f>D113</f>
        <v>28869.199999999997</v>
      </c>
      <c r="E112" s="94">
        <f>SUM(E113:E113)</f>
        <v>36709.5</v>
      </c>
      <c r="F112" s="94">
        <f>SUM(F113:F113)</f>
        <v>36709.5</v>
      </c>
      <c r="G112" s="103"/>
    </row>
    <row r="113" spans="1:7" x14ac:dyDescent="0.2">
      <c r="A113" s="57" t="s">
        <v>414</v>
      </c>
      <c r="B113" s="21" t="s">
        <v>225</v>
      </c>
      <c r="C113" s="98" t="s">
        <v>224</v>
      </c>
      <c r="D113" s="94">
        <f>36709.5-11516.9+950.4-54.7+717.3+2066-2.4</f>
        <v>28869.199999999997</v>
      </c>
      <c r="E113" s="94">
        <v>36709.5</v>
      </c>
      <c r="F113" s="94">
        <v>36709.5</v>
      </c>
      <c r="G113" s="103"/>
    </row>
    <row r="114" spans="1:7" ht="38.25" x14ac:dyDescent="0.2">
      <c r="A114" s="57" t="s">
        <v>697</v>
      </c>
      <c r="B114" s="21"/>
      <c r="C114" s="98" t="s">
        <v>698</v>
      </c>
      <c r="D114" s="94">
        <f>SUM(D115:D115)</f>
        <v>8733.6</v>
      </c>
      <c r="E114" s="94">
        <f>SUM(E115:E115)</f>
        <v>0</v>
      </c>
      <c r="F114" s="94">
        <f>SUM(F115:F115)</f>
        <v>0</v>
      </c>
      <c r="G114" s="103"/>
    </row>
    <row r="115" spans="1:7" x14ac:dyDescent="0.2">
      <c r="A115" s="57" t="s">
        <v>697</v>
      </c>
      <c r="B115" s="21" t="s">
        <v>225</v>
      </c>
      <c r="C115" s="98" t="s">
        <v>224</v>
      </c>
      <c r="D115" s="94">
        <f>10799.6+179.3-2066-179.3</f>
        <v>8733.6</v>
      </c>
      <c r="E115" s="94">
        <v>0</v>
      </c>
      <c r="F115" s="94">
        <v>0</v>
      </c>
      <c r="G115" s="103"/>
    </row>
    <row r="116" spans="1:7" ht="67.5" customHeight="1" x14ac:dyDescent="0.2">
      <c r="A116" s="57" t="s">
        <v>416</v>
      </c>
      <c r="B116" s="21"/>
      <c r="C116" s="98" t="s">
        <v>417</v>
      </c>
      <c r="D116" s="94">
        <f>D117</f>
        <v>16991.8</v>
      </c>
      <c r="E116" s="94">
        <f>E117</f>
        <v>19508</v>
      </c>
      <c r="F116" s="94">
        <f>F117</f>
        <v>21781.8</v>
      </c>
      <c r="G116" s="103"/>
    </row>
    <row r="117" spans="1:7" x14ac:dyDescent="0.2">
      <c r="A117" s="57" t="s">
        <v>416</v>
      </c>
      <c r="B117" s="21" t="s">
        <v>225</v>
      </c>
      <c r="C117" s="98" t="s">
        <v>224</v>
      </c>
      <c r="D117" s="132">
        <f>12678.4+635.3+3678.1</f>
        <v>16991.8</v>
      </c>
      <c r="E117" s="212">
        <f>12678.4+635.3+6194.3</f>
        <v>19508</v>
      </c>
      <c r="F117" s="132">
        <f>12678.4+635.3+8468.1</f>
        <v>21781.8</v>
      </c>
      <c r="G117" s="103"/>
    </row>
    <row r="118" spans="1:7" ht="66" customHeight="1" x14ac:dyDescent="0.2">
      <c r="A118" s="57" t="s">
        <v>418</v>
      </c>
      <c r="B118" s="57"/>
      <c r="C118" s="98" t="s">
        <v>419</v>
      </c>
      <c r="D118" s="39">
        <f>D119</f>
        <v>182.8</v>
      </c>
      <c r="E118" s="39">
        <f>E119</f>
        <v>128.1</v>
      </c>
      <c r="F118" s="39">
        <f>F119</f>
        <v>128.1</v>
      </c>
      <c r="G118" s="103"/>
    </row>
    <row r="119" spans="1:7" x14ac:dyDescent="0.2">
      <c r="A119" s="21" t="s">
        <v>418</v>
      </c>
      <c r="B119" s="21" t="s">
        <v>225</v>
      </c>
      <c r="C119" s="98" t="s">
        <v>224</v>
      </c>
      <c r="D119" s="41">
        <f>128.1+54.7</f>
        <v>182.8</v>
      </c>
      <c r="E119" s="41">
        <v>128.1</v>
      </c>
      <c r="F119" s="41">
        <v>128.1</v>
      </c>
      <c r="G119" s="103"/>
    </row>
    <row r="120" spans="1:7" s="211" customFormat="1" ht="51" x14ac:dyDescent="0.2">
      <c r="A120" s="21" t="s">
        <v>816</v>
      </c>
      <c r="B120" s="21"/>
      <c r="C120" s="108" t="s">
        <v>817</v>
      </c>
      <c r="D120" s="41">
        <f>D121</f>
        <v>237.3</v>
      </c>
      <c r="E120" s="41">
        <f t="shared" ref="E120:F120" si="28">E121</f>
        <v>0</v>
      </c>
      <c r="F120" s="41">
        <f t="shared" si="28"/>
        <v>0</v>
      </c>
      <c r="G120" s="103"/>
    </row>
    <row r="121" spans="1:7" s="211" customFormat="1" x14ac:dyDescent="0.2">
      <c r="A121" s="21" t="s">
        <v>816</v>
      </c>
      <c r="B121" s="21" t="s">
        <v>225</v>
      </c>
      <c r="C121" s="98" t="s">
        <v>224</v>
      </c>
      <c r="D121" s="41">
        <v>237.3</v>
      </c>
      <c r="E121" s="41">
        <v>0</v>
      </c>
      <c r="F121" s="41">
        <v>0</v>
      </c>
      <c r="G121" s="103"/>
    </row>
    <row r="122" spans="1:7" s="211" customFormat="1" ht="63.75" x14ac:dyDescent="0.2">
      <c r="A122" s="21" t="s">
        <v>818</v>
      </c>
      <c r="B122" s="21"/>
      <c r="C122" s="108" t="s">
        <v>819</v>
      </c>
      <c r="D122" s="41">
        <f>D123</f>
        <v>2.4</v>
      </c>
      <c r="E122" s="41">
        <f t="shared" ref="E122:F122" si="29">E123</f>
        <v>0</v>
      </c>
      <c r="F122" s="41">
        <f t="shared" si="29"/>
        <v>0</v>
      </c>
      <c r="G122" s="103"/>
    </row>
    <row r="123" spans="1:7" s="211" customFormat="1" x14ac:dyDescent="0.2">
      <c r="A123" s="21" t="s">
        <v>818</v>
      </c>
      <c r="B123" s="21" t="s">
        <v>225</v>
      </c>
      <c r="C123" s="98" t="s">
        <v>224</v>
      </c>
      <c r="D123" s="41">
        <v>2.4</v>
      </c>
      <c r="E123" s="41">
        <v>0</v>
      </c>
      <c r="F123" s="41">
        <v>0</v>
      </c>
      <c r="G123" s="103"/>
    </row>
    <row r="124" spans="1:7" ht="25.5" customHeight="1" x14ac:dyDescent="0.2">
      <c r="A124" s="21" t="s">
        <v>421</v>
      </c>
      <c r="B124" s="82"/>
      <c r="C124" s="97" t="s">
        <v>420</v>
      </c>
      <c r="D124" s="41">
        <f>D125+D127+D129</f>
        <v>1195</v>
      </c>
      <c r="E124" s="41">
        <f t="shared" ref="E124:F124" si="30">E125+E127+E129</f>
        <v>1195</v>
      </c>
      <c r="F124" s="41">
        <f t="shared" si="30"/>
        <v>1195</v>
      </c>
      <c r="G124" s="103"/>
    </row>
    <row r="125" spans="1:7" ht="52.5" customHeight="1" x14ac:dyDescent="0.2">
      <c r="A125" s="57" t="s">
        <v>558</v>
      </c>
      <c r="B125" s="21"/>
      <c r="C125" s="108" t="s">
        <v>422</v>
      </c>
      <c r="D125" s="94">
        <f>D126</f>
        <v>795</v>
      </c>
      <c r="E125" s="94">
        <f t="shared" ref="E125:F125" si="31">E126</f>
        <v>795</v>
      </c>
      <c r="F125" s="94">
        <f t="shared" si="31"/>
        <v>795</v>
      </c>
      <c r="G125" s="103"/>
    </row>
    <row r="126" spans="1:7" x14ac:dyDescent="0.2">
      <c r="A126" s="57" t="s">
        <v>558</v>
      </c>
      <c r="B126" s="21" t="s">
        <v>225</v>
      </c>
      <c r="C126" s="98" t="s">
        <v>224</v>
      </c>
      <c r="D126" s="94">
        <v>795</v>
      </c>
      <c r="E126" s="94">
        <v>795</v>
      </c>
      <c r="F126" s="94">
        <v>795</v>
      </c>
      <c r="G126" s="103"/>
    </row>
    <row r="127" spans="1:7" ht="25.5" customHeight="1" x14ac:dyDescent="0.2">
      <c r="A127" s="57" t="s">
        <v>423</v>
      </c>
      <c r="B127" s="21"/>
      <c r="C127" s="98" t="s">
        <v>183</v>
      </c>
      <c r="D127" s="41">
        <f>D128</f>
        <v>250</v>
      </c>
      <c r="E127" s="41">
        <f t="shared" ref="E127:F127" si="32">E128</f>
        <v>250</v>
      </c>
      <c r="F127" s="41">
        <f t="shared" si="32"/>
        <v>250</v>
      </c>
      <c r="G127" s="103"/>
    </row>
    <row r="128" spans="1:7" x14ac:dyDescent="0.2">
      <c r="A128" s="57" t="s">
        <v>423</v>
      </c>
      <c r="B128" s="21" t="s">
        <v>225</v>
      </c>
      <c r="C128" s="98" t="s">
        <v>224</v>
      </c>
      <c r="D128" s="41">
        <v>250</v>
      </c>
      <c r="E128" s="41">
        <v>250</v>
      </c>
      <c r="F128" s="41">
        <v>250</v>
      </c>
      <c r="G128" s="103"/>
    </row>
    <row r="129" spans="1:7" ht="27" customHeight="1" x14ac:dyDescent="0.2">
      <c r="A129" s="57" t="s">
        <v>424</v>
      </c>
      <c r="B129" s="21"/>
      <c r="C129" s="98" t="s">
        <v>425</v>
      </c>
      <c r="D129" s="41">
        <f>D130</f>
        <v>150</v>
      </c>
      <c r="E129" s="41">
        <f t="shared" ref="E129:F129" si="33">E130</f>
        <v>150</v>
      </c>
      <c r="F129" s="41">
        <f t="shared" si="33"/>
        <v>150</v>
      </c>
      <c r="G129" s="103"/>
    </row>
    <row r="130" spans="1:7" x14ac:dyDescent="0.2">
      <c r="A130" s="57" t="s">
        <v>424</v>
      </c>
      <c r="B130" s="21" t="s">
        <v>225</v>
      </c>
      <c r="C130" s="98" t="s">
        <v>224</v>
      </c>
      <c r="D130" s="41">
        <v>150</v>
      </c>
      <c r="E130" s="41">
        <v>150</v>
      </c>
      <c r="F130" s="41">
        <v>150</v>
      </c>
      <c r="G130" s="103"/>
    </row>
    <row r="131" spans="1:7" ht="26.25" customHeight="1" x14ac:dyDescent="0.2">
      <c r="A131" s="52" t="s">
        <v>427</v>
      </c>
      <c r="B131" s="82"/>
      <c r="C131" s="46" t="s">
        <v>426</v>
      </c>
      <c r="D131" s="41">
        <f>D132+D139+D146+D156</f>
        <v>2711.1000000000004</v>
      </c>
      <c r="E131" s="41">
        <f t="shared" ref="E131:F131" si="34">E132+E139+E146+E156</f>
        <v>2546.8000000000002</v>
      </c>
      <c r="F131" s="41">
        <f t="shared" si="34"/>
        <v>2561.8000000000002</v>
      </c>
      <c r="G131" s="103"/>
    </row>
    <row r="132" spans="1:7" ht="26.25" customHeight="1" x14ac:dyDescent="0.2">
      <c r="A132" s="21" t="s">
        <v>428</v>
      </c>
      <c r="B132" s="21"/>
      <c r="C132" s="97" t="s">
        <v>466</v>
      </c>
      <c r="D132" s="41">
        <f>D133+D135+D137</f>
        <v>303.89999999999998</v>
      </c>
      <c r="E132" s="41">
        <f>E133+E135+E137</f>
        <v>303.89999999999998</v>
      </c>
      <c r="F132" s="41">
        <f>F133+F135+F137</f>
        <v>303.89999999999998</v>
      </c>
      <c r="G132" s="103"/>
    </row>
    <row r="133" spans="1:7" ht="38.25" x14ac:dyDescent="0.2">
      <c r="A133" s="21" t="s">
        <v>556</v>
      </c>
      <c r="B133" s="16"/>
      <c r="C133" s="97" t="s">
        <v>429</v>
      </c>
      <c r="D133" s="39">
        <f>D134</f>
        <v>141.69999999999999</v>
      </c>
      <c r="E133" s="39">
        <f>E134</f>
        <v>141.69999999999999</v>
      </c>
      <c r="F133" s="39">
        <f>F134</f>
        <v>141.69999999999999</v>
      </c>
      <c r="G133" s="103"/>
    </row>
    <row r="134" spans="1:7" x14ac:dyDescent="0.2">
      <c r="A134" s="21" t="s">
        <v>556</v>
      </c>
      <c r="B134" s="82" t="s">
        <v>355</v>
      </c>
      <c r="C134" s="98" t="s">
        <v>356</v>
      </c>
      <c r="D134" s="41">
        <v>141.69999999999999</v>
      </c>
      <c r="E134" s="41">
        <v>141.69999999999999</v>
      </c>
      <c r="F134" s="41">
        <v>141.69999999999999</v>
      </c>
      <c r="G134" s="103"/>
    </row>
    <row r="135" spans="1:7" ht="39.75" customHeight="1" x14ac:dyDescent="0.2">
      <c r="A135" s="57" t="s">
        <v>557</v>
      </c>
      <c r="B135" s="16"/>
      <c r="C135" s="98" t="s">
        <v>49</v>
      </c>
      <c r="D135" s="41">
        <f>D136</f>
        <v>112.2</v>
      </c>
      <c r="E135" s="41">
        <f>E136</f>
        <v>112.2</v>
      </c>
      <c r="F135" s="41">
        <f>F136</f>
        <v>112.2</v>
      </c>
      <c r="G135" s="103"/>
    </row>
    <row r="136" spans="1:7" ht="38.25" x14ac:dyDescent="0.2">
      <c r="A136" s="57" t="s">
        <v>557</v>
      </c>
      <c r="B136" s="82" t="s">
        <v>211</v>
      </c>
      <c r="C136" s="98" t="s">
        <v>212</v>
      </c>
      <c r="D136" s="41">
        <v>112.2</v>
      </c>
      <c r="E136" s="41">
        <v>112.2</v>
      </c>
      <c r="F136" s="41">
        <v>112.2</v>
      </c>
      <c r="G136" s="103"/>
    </row>
    <row r="137" spans="1:7" ht="66" customHeight="1" x14ac:dyDescent="0.2">
      <c r="A137" s="57" t="s">
        <v>552</v>
      </c>
      <c r="B137" s="16"/>
      <c r="C137" s="98" t="s">
        <v>430</v>
      </c>
      <c r="D137" s="41">
        <f>D138</f>
        <v>50</v>
      </c>
      <c r="E137" s="41">
        <f>E138</f>
        <v>50</v>
      </c>
      <c r="F137" s="41">
        <f>F138</f>
        <v>50</v>
      </c>
      <c r="G137" s="103"/>
    </row>
    <row r="138" spans="1:7" x14ac:dyDescent="0.2">
      <c r="A138" s="57" t="s">
        <v>552</v>
      </c>
      <c r="B138" s="21" t="s">
        <v>225</v>
      </c>
      <c r="C138" s="98" t="s">
        <v>224</v>
      </c>
      <c r="D138" s="41">
        <v>50</v>
      </c>
      <c r="E138" s="41">
        <v>50</v>
      </c>
      <c r="F138" s="41">
        <v>50</v>
      </c>
      <c r="G138" s="103"/>
    </row>
    <row r="139" spans="1:7" ht="38.25" x14ac:dyDescent="0.2">
      <c r="A139" s="21" t="s">
        <v>431</v>
      </c>
      <c r="B139" s="21"/>
      <c r="C139" s="97" t="s">
        <v>736</v>
      </c>
      <c r="D139" s="39">
        <f>D140+D142+D144</f>
        <v>1269.4000000000001</v>
      </c>
      <c r="E139" s="39">
        <f>E140+E142+E144</f>
        <v>1162</v>
      </c>
      <c r="F139" s="39">
        <f>F140+F142+F144</f>
        <v>1177</v>
      </c>
      <c r="G139" s="103"/>
    </row>
    <row r="140" spans="1:7" ht="42.75" customHeight="1" x14ac:dyDescent="0.2">
      <c r="A140" s="57" t="s">
        <v>553</v>
      </c>
      <c r="B140" s="16"/>
      <c r="C140" s="98" t="s">
        <v>44</v>
      </c>
      <c r="D140" s="41">
        <f>D141</f>
        <v>193.2</v>
      </c>
      <c r="E140" s="41">
        <f>E141</f>
        <v>115</v>
      </c>
      <c r="F140" s="41">
        <f>F141</f>
        <v>130</v>
      </c>
      <c r="G140" s="103"/>
    </row>
    <row r="141" spans="1:7" x14ac:dyDescent="0.2">
      <c r="A141" s="57" t="s">
        <v>553</v>
      </c>
      <c r="B141" s="21" t="s">
        <v>225</v>
      </c>
      <c r="C141" s="98" t="s">
        <v>224</v>
      </c>
      <c r="D141" s="94">
        <f>193.2-63.2-25.8+89</f>
        <v>193.2</v>
      </c>
      <c r="E141" s="94">
        <f>193.2-63.2-15</f>
        <v>115</v>
      </c>
      <c r="F141" s="94">
        <f>193.2-63.2</f>
        <v>130</v>
      </c>
      <c r="G141" s="103"/>
    </row>
    <row r="142" spans="1:7" ht="42" customHeight="1" x14ac:dyDescent="0.2">
      <c r="A142" s="57" t="s">
        <v>554</v>
      </c>
      <c r="B142" s="16"/>
      <c r="C142" s="54" t="s">
        <v>511</v>
      </c>
      <c r="D142" s="94">
        <f>D143</f>
        <v>104.2</v>
      </c>
      <c r="E142" s="94">
        <f>E143</f>
        <v>75</v>
      </c>
      <c r="F142" s="94">
        <f>F143</f>
        <v>75</v>
      </c>
      <c r="G142" s="103"/>
    </row>
    <row r="143" spans="1:7" x14ac:dyDescent="0.2">
      <c r="A143" s="57" t="s">
        <v>554</v>
      </c>
      <c r="B143" s="21" t="s">
        <v>225</v>
      </c>
      <c r="C143" s="98" t="s">
        <v>224</v>
      </c>
      <c r="D143" s="94">
        <f>75+29.2</f>
        <v>104.2</v>
      </c>
      <c r="E143" s="94">
        <v>75</v>
      </c>
      <c r="F143" s="94">
        <v>75</v>
      </c>
      <c r="G143" s="103"/>
    </row>
    <row r="144" spans="1:7" ht="91.5" customHeight="1" x14ac:dyDescent="0.2">
      <c r="A144" s="80">
        <v>140210560</v>
      </c>
      <c r="B144" s="82"/>
      <c r="C144" s="98" t="s">
        <v>182</v>
      </c>
      <c r="D144" s="41">
        <f>D145</f>
        <v>972</v>
      </c>
      <c r="E144" s="41">
        <f>E145</f>
        <v>972</v>
      </c>
      <c r="F144" s="41">
        <f>F145</f>
        <v>972</v>
      </c>
      <c r="G144" s="103"/>
    </row>
    <row r="145" spans="1:7" ht="25.5" x14ac:dyDescent="0.2">
      <c r="A145" s="80">
        <v>140210560</v>
      </c>
      <c r="B145" s="82" t="s">
        <v>279</v>
      </c>
      <c r="C145" s="98" t="s">
        <v>280</v>
      </c>
      <c r="D145" s="41">
        <f>1026-54</f>
        <v>972</v>
      </c>
      <c r="E145" s="41">
        <f t="shared" ref="E145:F145" si="35">1026-54</f>
        <v>972</v>
      </c>
      <c r="F145" s="41">
        <f t="shared" si="35"/>
        <v>972</v>
      </c>
      <c r="G145" s="103"/>
    </row>
    <row r="146" spans="1:7" ht="37.5" customHeight="1" x14ac:dyDescent="0.2">
      <c r="A146" s="21" t="s">
        <v>433</v>
      </c>
      <c r="B146" s="21"/>
      <c r="C146" s="108" t="s">
        <v>737</v>
      </c>
      <c r="D146" s="41">
        <f>D147+D149+D152+D154</f>
        <v>1087.8</v>
      </c>
      <c r="E146" s="41">
        <f>E147+E149+E152+E154</f>
        <v>1080.9000000000001</v>
      </c>
      <c r="F146" s="41">
        <f>F147+F149+F152+F154</f>
        <v>1080.9000000000001</v>
      </c>
      <c r="G146" s="103"/>
    </row>
    <row r="147" spans="1:7" ht="63" customHeight="1" x14ac:dyDescent="0.2">
      <c r="A147" s="80">
        <v>140323020</v>
      </c>
      <c r="B147" s="82"/>
      <c r="C147" s="98" t="s">
        <v>133</v>
      </c>
      <c r="D147" s="41">
        <f>D148</f>
        <v>304.5</v>
      </c>
      <c r="E147" s="41">
        <f>E148</f>
        <v>297.60000000000002</v>
      </c>
      <c r="F147" s="41">
        <f>F148</f>
        <v>297.60000000000002</v>
      </c>
      <c r="G147" s="103"/>
    </row>
    <row r="148" spans="1:7" ht="38.25" x14ac:dyDescent="0.2">
      <c r="A148" s="80">
        <v>140323020</v>
      </c>
      <c r="B148" s="82" t="s">
        <v>211</v>
      </c>
      <c r="C148" s="98" t="s">
        <v>212</v>
      </c>
      <c r="D148" s="41">
        <f>297.6+6.9</f>
        <v>304.5</v>
      </c>
      <c r="E148" s="41">
        <v>297.60000000000002</v>
      </c>
      <c r="F148" s="41">
        <v>297.60000000000002</v>
      </c>
      <c r="G148" s="103"/>
    </row>
    <row r="149" spans="1:7" ht="68.25" customHeight="1" x14ac:dyDescent="0.2">
      <c r="A149" s="80">
        <v>140323025</v>
      </c>
      <c r="B149" s="82"/>
      <c r="C149" s="98" t="s">
        <v>738</v>
      </c>
      <c r="D149" s="41">
        <f>SUM(D150:D151)</f>
        <v>479.3</v>
      </c>
      <c r="E149" s="41">
        <f t="shared" ref="E149:F149" si="36">SUM(E150:E151)</f>
        <v>479.3</v>
      </c>
      <c r="F149" s="41">
        <f t="shared" si="36"/>
        <v>479.3</v>
      </c>
      <c r="G149" s="103"/>
    </row>
    <row r="150" spans="1:7" ht="42" customHeight="1" x14ac:dyDescent="0.2">
      <c r="A150" s="80">
        <v>140323025</v>
      </c>
      <c r="B150" s="82" t="s">
        <v>211</v>
      </c>
      <c r="C150" s="98" t="s">
        <v>212</v>
      </c>
      <c r="D150" s="41">
        <v>444.3</v>
      </c>
      <c r="E150" s="41">
        <v>444.3</v>
      </c>
      <c r="F150" s="41">
        <v>444.3</v>
      </c>
      <c r="G150" s="103"/>
    </row>
    <row r="151" spans="1:7" x14ac:dyDescent="0.2">
      <c r="A151" s="80">
        <v>140323025</v>
      </c>
      <c r="B151" s="82" t="s">
        <v>632</v>
      </c>
      <c r="C151" s="98" t="s">
        <v>633</v>
      </c>
      <c r="D151" s="41">
        <v>35</v>
      </c>
      <c r="E151" s="41">
        <v>35</v>
      </c>
      <c r="F151" s="41">
        <v>35</v>
      </c>
      <c r="G151" s="103"/>
    </row>
    <row r="152" spans="1:7" ht="54.75" customHeight="1" x14ac:dyDescent="0.2">
      <c r="A152" s="80" t="s">
        <v>434</v>
      </c>
      <c r="B152" s="82"/>
      <c r="C152" s="98" t="s">
        <v>435</v>
      </c>
      <c r="D152" s="41">
        <f>D153</f>
        <v>153.19999999999999</v>
      </c>
      <c r="E152" s="41">
        <f>E153</f>
        <v>153.19999999999999</v>
      </c>
      <c r="F152" s="41">
        <f>F153</f>
        <v>153.19999999999999</v>
      </c>
      <c r="G152" s="103"/>
    </row>
    <row r="153" spans="1:7" ht="38.25" x14ac:dyDescent="0.2">
      <c r="A153" s="80" t="s">
        <v>434</v>
      </c>
      <c r="B153" s="82" t="s">
        <v>211</v>
      </c>
      <c r="C153" s="98" t="s">
        <v>212</v>
      </c>
      <c r="D153" s="41">
        <f>90+63.2</f>
        <v>153.19999999999999</v>
      </c>
      <c r="E153" s="41">
        <f>90+63.2</f>
        <v>153.19999999999999</v>
      </c>
      <c r="F153" s="41">
        <f>90+63.2</f>
        <v>153.19999999999999</v>
      </c>
      <c r="G153" s="103"/>
    </row>
    <row r="154" spans="1:7" ht="26.25" customHeight="1" x14ac:dyDescent="0.2">
      <c r="A154" s="80">
        <v>140311080</v>
      </c>
      <c r="B154" s="82"/>
      <c r="C154" s="98" t="s">
        <v>436</v>
      </c>
      <c r="D154" s="41">
        <f>D155</f>
        <v>150.80000000000001</v>
      </c>
      <c r="E154" s="41">
        <f>E155</f>
        <v>150.80000000000001</v>
      </c>
      <c r="F154" s="41">
        <f>F155</f>
        <v>150.80000000000001</v>
      </c>
      <c r="G154" s="103"/>
    </row>
    <row r="155" spans="1:7" ht="38.25" x14ac:dyDescent="0.2">
      <c r="A155" s="80">
        <v>140311080</v>
      </c>
      <c r="B155" s="82" t="s">
        <v>211</v>
      </c>
      <c r="C155" s="98" t="s">
        <v>212</v>
      </c>
      <c r="D155" s="39">
        <v>150.80000000000001</v>
      </c>
      <c r="E155" s="39">
        <v>150.80000000000001</v>
      </c>
      <c r="F155" s="39">
        <v>150.80000000000001</v>
      </c>
      <c r="G155" s="103"/>
    </row>
    <row r="156" spans="1:7" ht="25.5" x14ac:dyDescent="0.2">
      <c r="A156" s="21" t="s">
        <v>752</v>
      </c>
      <c r="B156" s="82"/>
      <c r="C156" s="174" t="s">
        <v>753</v>
      </c>
      <c r="D156" s="39">
        <f>D157</f>
        <v>50</v>
      </c>
      <c r="E156" s="39">
        <f t="shared" ref="E156:F156" si="37">E157</f>
        <v>0</v>
      </c>
      <c r="F156" s="39">
        <f t="shared" si="37"/>
        <v>0</v>
      </c>
      <c r="G156" s="103"/>
    </row>
    <row r="157" spans="1:7" ht="51" x14ac:dyDescent="0.2">
      <c r="A157" s="21" t="s">
        <v>750</v>
      </c>
      <c r="B157" s="82"/>
      <c r="C157" s="130" t="s">
        <v>751</v>
      </c>
      <c r="D157" s="39">
        <f>D158</f>
        <v>50</v>
      </c>
      <c r="E157" s="39">
        <v>0</v>
      </c>
      <c r="F157" s="39">
        <v>0</v>
      </c>
      <c r="G157" s="103"/>
    </row>
    <row r="158" spans="1:7" ht="38.25" x14ac:dyDescent="0.2">
      <c r="A158" s="21" t="s">
        <v>750</v>
      </c>
      <c r="B158" s="82" t="s">
        <v>211</v>
      </c>
      <c r="C158" s="98" t="s">
        <v>212</v>
      </c>
      <c r="D158" s="39">
        <v>50</v>
      </c>
      <c r="E158" s="39">
        <v>0</v>
      </c>
      <c r="F158" s="39">
        <v>0</v>
      </c>
      <c r="G158" s="103"/>
    </row>
    <row r="159" spans="1:7" x14ac:dyDescent="0.2">
      <c r="A159" s="52" t="s">
        <v>76</v>
      </c>
      <c r="B159" s="16"/>
      <c r="C159" s="66" t="s">
        <v>46</v>
      </c>
      <c r="D159" s="41">
        <f>D160</f>
        <v>9055.9</v>
      </c>
      <c r="E159" s="41">
        <f>E160</f>
        <v>8745.1999999999989</v>
      </c>
      <c r="F159" s="41">
        <f>F160</f>
        <v>8745.1999999999989</v>
      </c>
      <c r="G159" s="103"/>
    </row>
    <row r="160" spans="1:7" ht="51" customHeight="1" x14ac:dyDescent="0.2">
      <c r="A160" s="80">
        <v>190022200</v>
      </c>
      <c r="B160" s="82"/>
      <c r="C160" s="98" t="s">
        <v>437</v>
      </c>
      <c r="D160" s="41">
        <f>SUM(D161:D163)</f>
        <v>9055.9</v>
      </c>
      <c r="E160" s="41">
        <f>SUM(E161:E162)</f>
        <v>8745.1999999999989</v>
      </c>
      <c r="F160" s="41">
        <f>SUM(F161:F162)</f>
        <v>8745.1999999999989</v>
      </c>
      <c r="G160" s="103"/>
    </row>
    <row r="161" spans="1:7" ht="25.5" x14ac:dyDescent="0.2">
      <c r="A161" s="80">
        <v>190022200</v>
      </c>
      <c r="B161" s="16" t="s">
        <v>62</v>
      </c>
      <c r="C161" s="55" t="s">
        <v>63</v>
      </c>
      <c r="D161" s="41">
        <f>8258.3+301.7</f>
        <v>8560</v>
      </c>
      <c r="E161" s="41">
        <v>8258.2999999999993</v>
      </c>
      <c r="F161" s="41">
        <v>8258.2999999999993</v>
      </c>
      <c r="G161" s="103"/>
    </row>
    <row r="162" spans="1:7" ht="38.25" x14ac:dyDescent="0.2">
      <c r="A162" s="80">
        <v>190022200</v>
      </c>
      <c r="B162" s="82" t="s">
        <v>211</v>
      </c>
      <c r="C162" s="98" t="s">
        <v>212</v>
      </c>
      <c r="D162" s="41">
        <v>486.9</v>
      </c>
      <c r="E162" s="41">
        <v>486.9</v>
      </c>
      <c r="F162" s="41">
        <v>486.9</v>
      </c>
      <c r="G162" s="103"/>
    </row>
    <row r="163" spans="1:7" ht="24" customHeight="1" x14ac:dyDescent="0.2">
      <c r="A163" s="80">
        <v>190022200</v>
      </c>
      <c r="B163" s="82" t="s">
        <v>260</v>
      </c>
      <c r="C163" s="98" t="s">
        <v>249</v>
      </c>
      <c r="D163" s="41">
        <v>9</v>
      </c>
      <c r="E163" s="41">
        <v>0</v>
      </c>
      <c r="F163" s="41">
        <v>0</v>
      </c>
      <c r="G163" s="103"/>
    </row>
    <row r="164" spans="1:7" ht="78" customHeight="1" x14ac:dyDescent="0.25">
      <c r="A164" s="73" t="s">
        <v>59</v>
      </c>
      <c r="B164" s="35"/>
      <c r="C164" s="53" t="s">
        <v>572</v>
      </c>
      <c r="D164" s="65">
        <f>D165+D213+D223+D241</f>
        <v>149428.79999999999</v>
      </c>
      <c r="E164" s="65">
        <f>E165+E213+E223+E241</f>
        <v>125612.8</v>
      </c>
      <c r="F164" s="65">
        <f>F165+F213+F223+F241</f>
        <v>130976.79999999999</v>
      </c>
      <c r="G164" s="103"/>
    </row>
    <row r="165" spans="1:7" ht="25.5" x14ac:dyDescent="0.2">
      <c r="A165" s="21" t="s">
        <v>60</v>
      </c>
      <c r="B165" s="35"/>
      <c r="C165" s="48" t="s">
        <v>171</v>
      </c>
      <c r="D165" s="58">
        <f>D166+D181+D192+D199+D202+D205+D208</f>
        <v>126893.09999999999</v>
      </c>
      <c r="E165" s="58">
        <f>E166+E181+E192+E199+E202+E205+E208</f>
        <v>113774.8</v>
      </c>
      <c r="F165" s="58">
        <f>F166+F181+F192+F199+F202+F205+F208</f>
        <v>119138.79999999999</v>
      </c>
      <c r="G165" s="103"/>
    </row>
    <row r="166" spans="1:7" ht="38.25" x14ac:dyDescent="0.2">
      <c r="A166" s="21" t="s">
        <v>208</v>
      </c>
      <c r="B166" s="35"/>
      <c r="C166" s="101" t="s">
        <v>213</v>
      </c>
      <c r="D166" s="94">
        <f>D167+D171+D173+D176+D179</f>
        <v>89326.699999999983</v>
      </c>
      <c r="E166" s="94">
        <f t="shared" ref="E166:F166" si="38">E167+E171+E173+E176+E179</f>
        <v>90190</v>
      </c>
      <c r="F166" s="94">
        <f t="shared" si="38"/>
        <v>96521.4</v>
      </c>
      <c r="G166" s="103"/>
    </row>
    <row r="167" spans="1:7" ht="25.5" x14ac:dyDescent="0.2">
      <c r="A167" s="74">
        <v>210122900</v>
      </c>
      <c r="B167" s="16"/>
      <c r="C167" s="99" t="s">
        <v>170</v>
      </c>
      <c r="D167" s="39">
        <f>D168+D169+D170</f>
        <v>12386.8</v>
      </c>
      <c r="E167" s="39">
        <f t="shared" ref="E167:F167" si="39">E168+E169+E170</f>
        <v>11779.7</v>
      </c>
      <c r="F167" s="39">
        <f t="shared" si="39"/>
        <v>11744.7</v>
      </c>
      <c r="G167" s="103"/>
    </row>
    <row r="168" spans="1:7" ht="25.5" x14ac:dyDescent="0.2">
      <c r="A168" s="74">
        <v>210122900</v>
      </c>
      <c r="B168" s="82" t="s">
        <v>64</v>
      </c>
      <c r="C168" s="55" t="s">
        <v>130</v>
      </c>
      <c r="D168" s="39">
        <f>5295.8-160.5-13.7-38.3</f>
        <v>5083.3</v>
      </c>
      <c r="E168" s="39">
        <f>5295.8-13.7-46.3</f>
        <v>5235.8</v>
      </c>
      <c r="F168" s="39">
        <f>5295.8-13.7-81.3</f>
        <v>5200.8</v>
      </c>
      <c r="G168" s="103"/>
    </row>
    <row r="169" spans="1:7" ht="38.25" x14ac:dyDescent="0.2">
      <c r="A169" s="74">
        <v>210122900</v>
      </c>
      <c r="B169" s="82" t="s">
        <v>211</v>
      </c>
      <c r="C169" s="98" t="s">
        <v>212</v>
      </c>
      <c r="D169" s="39">
        <f>6543.9-13.4-1+612.5+1</f>
        <v>7143</v>
      </c>
      <c r="E169" s="39">
        <v>6543.9</v>
      </c>
      <c r="F169" s="39">
        <v>6543.9</v>
      </c>
      <c r="G169" s="103"/>
    </row>
    <row r="170" spans="1:7" ht="26.25" customHeight="1" x14ac:dyDescent="0.2">
      <c r="A170" s="74">
        <v>210122900</v>
      </c>
      <c r="B170" s="82" t="s">
        <v>260</v>
      </c>
      <c r="C170" s="98" t="s">
        <v>249</v>
      </c>
      <c r="D170" s="39">
        <v>160.5</v>
      </c>
      <c r="E170" s="39">
        <v>0</v>
      </c>
      <c r="F170" s="39">
        <v>0</v>
      </c>
      <c r="G170" s="103"/>
    </row>
    <row r="171" spans="1:7" ht="51" x14ac:dyDescent="0.2">
      <c r="A171" s="74">
        <v>210121100</v>
      </c>
      <c r="B171" s="16"/>
      <c r="C171" s="99" t="s">
        <v>172</v>
      </c>
      <c r="D171" s="39">
        <f>D172</f>
        <v>34822.6</v>
      </c>
      <c r="E171" s="39">
        <f>E172</f>
        <v>31026.9</v>
      </c>
      <c r="F171" s="39">
        <f>F172</f>
        <v>32211.9</v>
      </c>
      <c r="G171" s="103"/>
    </row>
    <row r="172" spans="1:7" x14ac:dyDescent="0.2">
      <c r="A172" s="74">
        <v>210121100</v>
      </c>
      <c r="B172" s="21" t="s">
        <v>225</v>
      </c>
      <c r="C172" s="98" t="s">
        <v>224</v>
      </c>
      <c r="D172" s="39">
        <f>34169.2+1174.4-1000-16.3+600-104.7</f>
        <v>34822.6</v>
      </c>
      <c r="E172" s="1">
        <f>31189.9-16.3-146.7</f>
        <v>31026.9</v>
      </c>
      <c r="F172" s="1">
        <f>32389.9-16.3-161.7</f>
        <v>32211.9</v>
      </c>
      <c r="G172" s="103"/>
    </row>
    <row r="173" spans="1:7" ht="38.25" x14ac:dyDescent="0.2">
      <c r="A173" s="74" t="s">
        <v>438</v>
      </c>
      <c r="B173" s="82"/>
      <c r="C173" s="98" t="s">
        <v>313</v>
      </c>
      <c r="D173" s="39">
        <f>SUM(D174:D175)</f>
        <v>500</v>
      </c>
      <c r="E173" s="39">
        <f>SUM(E174:E175)</f>
        <v>550</v>
      </c>
      <c r="F173" s="39">
        <f>SUM(F174:F175)</f>
        <v>600</v>
      </c>
      <c r="G173" s="103"/>
    </row>
    <row r="174" spans="1:7" ht="25.5" x14ac:dyDescent="0.2">
      <c r="A174" s="74" t="s">
        <v>438</v>
      </c>
      <c r="B174" s="82" t="s">
        <v>64</v>
      </c>
      <c r="C174" s="55" t="s">
        <v>130</v>
      </c>
      <c r="D174" s="39">
        <f>95+13.7+38.3</f>
        <v>147</v>
      </c>
      <c r="E174" s="39">
        <f>95+13.7+46.3</f>
        <v>155</v>
      </c>
      <c r="F174" s="39">
        <f>95+13.7+81.3</f>
        <v>190</v>
      </c>
      <c r="G174" s="103"/>
    </row>
    <row r="175" spans="1:7" x14ac:dyDescent="0.2">
      <c r="A175" s="74" t="s">
        <v>438</v>
      </c>
      <c r="B175" s="21" t="s">
        <v>225</v>
      </c>
      <c r="C175" s="98" t="s">
        <v>224</v>
      </c>
      <c r="D175" s="39">
        <f>232+16.3+104.7</f>
        <v>353</v>
      </c>
      <c r="E175" s="39">
        <f>232+16.3+146.7</f>
        <v>395</v>
      </c>
      <c r="F175" s="39">
        <f>232+16.3+161.7</f>
        <v>410</v>
      </c>
      <c r="G175" s="103"/>
    </row>
    <row r="176" spans="1:7" ht="51" x14ac:dyDescent="0.2">
      <c r="A176" s="74">
        <v>210110680</v>
      </c>
      <c r="B176" s="82"/>
      <c r="C176" s="98" t="s">
        <v>351</v>
      </c>
      <c r="D176" s="39">
        <f>SUM(D177:D178)</f>
        <v>41503.899999999994</v>
      </c>
      <c r="E176" s="39">
        <f t="shared" ref="E176:F176" si="40">SUM(E177:E178)</f>
        <v>46833.399999999994</v>
      </c>
      <c r="F176" s="39">
        <f t="shared" si="40"/>
        <v>51964.799999999996</v>
      </c>
      <c r="G176" s="103"/>
    </row>
    <row r="177" spans="1:7" ht="25.5" x14ac:dyDescent="0.2">
      <c r="A177" s="74">
        <v>210110680</v>
      </c>
      <c r="B177" s="82" t="s">
        <v>64</v>
      </c>
      <c r="C177" s="55" t="s">
        <v>130</v>
      </c>
      <c r="D177" s="39">
        <f>9388.4+1377.5+1680.1</f>
        <v>12446</v>
      </c>
      <c r="E177" s="39">
        <f>9388.4+1377.5+3278.1</f>
        <v>14044</v>
      </c>
      <c r="F177" s="39">
        <f>9388.4+1377.5+4817.2</f>
        <v>15583.099999999999</v>
      </c>
      <c r="G177" s="103"/>
    </row>
    <row r="178" spans="1:7" x14ac:dyDescent="0.2">
      <c r="A178" s="74">
        <v>210110680</v>
      </c>
      <c r="B178" s="21" t="s">
        <v>225</v>
      </c>
      <c r="C178" s="98" t="s">
        <v>224</v>
      </c>
      <c r="D178" s="39">
        <f>22918.8+1651.8+4487.3</f>
        <v>29057.899999999998</v>
      </c>
      <c r="E178" s="39">
        <f>22918.8+1651.8+8218.8</f>
        <v>32789.399999999994</v>
      </c>
      <c r="F178" s="39">
        <f>22918.8+1651.8+11811.1</f>
        <v>36381.699999999997</v>
      </c>
      <c r="G178" s="103"/>
    </row>
    <row r="179" spans="1:7" ht="76.5" x14ac:dyDescent="0.2">
      <c r="A179" s="74" t="s">
        <v>744</v>
      </c>
      <c r="B179" s="21"/>
      <c r="C179" s="172" t="s">
        <v>745</v>
      </c>
      <c r="D179" s="39">
        <f>D180</f>
        <v>113.4</v>
      </c>
      <c r="E179" s="39">
        <v>0</v>
      </c>
      <c r="F179" s="39">
        <v>0</v>
      </c>
      <c r="G179" s="103"/>
    </row>
    <row r="180" spans="1:7" ht="38.25" x14ac:dyDescent="0.2">
      <c r="A180" s="74" t="s">
        <v>744</v>
      </c>
      <c r="B180" s="21" t="s">
        <v>211</v>
      </c>
      <c r="C180" s="98" t="s">
        <v>212</v>
      </c>
      <c r="D180" s="39">
        <f>13.4+100</f>
        <v>113.4</v>
      </c>
      <c r="E180" s="39">
        <v>0</v>
      </c>
      <c r="F180" s="39">
        <v>0</v>
      </c>
      <c r="G180" s="103"/>
    </row>
    <row r="181" spans="1:7" ht="25.5" x14ac:dyDescent="0.2">
      <c r="A181" s="72" t="s">
        <v>252</v>
      </c>
      <c r="B181" s="72"/>
      <c r="C181" s="164" t="s">
        <v>439</v>
      </c>
      <c r="D181" s="165">
        <f>D182+D184+D186+D188+D190</f>
        <v>20449.000000000004</v>
      </c>
      <c r="E181" s="165">
        <f t="shared" ref="E181:F181" si="41">E182+E184+E186+E188+E190</f>
        <v>20914.8</v>
      </c>
      <c r="F181" s="165">
        <f t="shared" si="41"/>
        <v>22007.4</v>
      </c>
      <c r="G181" s="103"/>
    </row>
    <row r="182" spans="1:7" ht="25.5" x14ac:dyDescent="0.2">
      <c r="A182" s="74">
        <v>210221100</v>
      </c>
      <c r="B182" s="16"/>
      <c r="C182" s="99" t="s">
        <v>173</v>
      </c>
      <c r="D182" s="39">
        <f>D183</f>
        <v>12163.6</v>
      </c>
      <c r="E182" s="39">
        <f>E183</f>
        <v>11371.7</v>
      </c>
      <c r="F182" s="39">
        <f>F183</f>
        <v>11337.7</v>
      </c>
      <c r="G182" s="103"/>
    </row>
    <row r="183" spans="1:7" x14ac:dyDescent="0.2">
      <c r="A183" s="74">
        <v>210221100</v>
      </c>
      <c r="B183" s="21" t="s">
        <v>225</v>
      </c>
      <c r="C183" s="98" t="s">
        <v>224</v>
      </c>
      <c r="D183" s="39">
        <f>11484.2+700-20.2-0.4</f>
        <v>12163.6</v>
      </c>
      <c r="E183" s="39">
        <f>11484.2-20.2-92.3</f>
        <v>11371.7</v>
      </c>
      <c r="F183" s="39">
        <f>11484.2-20.2-126.3</f>
        <v>11337.7</v>
      </c>
      <c r="G183" s="103"/>
    </row>
    <row r="184" spans="1:7" ht="63.75" x14ac:dyDescent="0.2">
      <c r="A184" s="74">
        <v>210210690</v>
      </c>
      <c r="B184" s="21"/>
      <c r="C184" s="98" t="s">
        <v>314</v>
      </c>
      <c r="D184" s="39">
        <f>D185</f>
        <v>8169.1</v>
      </c>
      <c r="E184" s="39">
        <f>E185</f>
        <v>9379.4</v>
      </c>
      <c r="F184" s="39">
        <f>F185</f>
        <v>10472</v>
      </c>
      <c r="G184" s="103"/>
    </row>
    <row r="185" spans="1:7" x14ac:dyDescent="0.2">
      <c r="A185" s="74">
        <v>210210690</v>
      </c>
      <c r="B185" s="21" t="s">
        <v>225</v>
      </c>
      <c r="C185" s="98" t="s">
        <v>224</v>
      </c>
      <c r="D185" s="132">
        <f>5071.4+1364.8+1732.9</f>
        <v>8169.1</v>
      </c>
      <c r="E185" s="132">
        <f>5071.4+1364.8+2943.2</f>
        <v>9379.4</v>
      </c>
      <c r="F185" s="212">
        <f>5071.4+1364.8+4035.8</f>
        <v>10472</v>
      </c>
      <c r="G185" s="103"/>
    </row>
    <row r="186" spans="1:7" ht="51" x14ac:dyDescent="0.2">
      <c r="A186" s="74" t="s">
        <v>440</v>
      </c>
      <c r="B186" s="82"/>
      <c r="C186" s="98" t="s">
        <v>315</v>
      </c>
      <c r="D186" s="39">
        <f>SUM(D187:D187)</f>
        <v>71.400000000000006</v>
      </c>
      <c r="E186" s="39">
        <f>SUM(E187:E187)</f>
        <v>163.69999999999999</v>
      </c>
      <c r="F186" s="39">
        <f>SUM(F187:F187)</f>
        <v>197.7</v>
      </c>
      <c r="G186" s="103"/>
    </row>
    <row r="187" spans="1:7" x14ac:dyDescent="0.2">
      <c r="A187" s="74" t="s">
        <v>440</v>
      </c>
      <c r="B187" s="21" t="s">
        <v>225</v>
      </c>
      <c r="C187" s="98" t="s">
        <v>224</v>
      </c>
      <c r="D187" s="39">
        <f>51.2+20.2</f>
        <v>71.400000000000006</v>
      </c>
      <c r="E187" s="39">
        <f>51.2+20.2+92.3</f>
        <v>163.69999999999999</v>
      </c>
      <c r="F187" s="39">
        <f>51.2+20.2+126.3</f>
        <v>197.7</v>
      </c>
      <c r="G187" s="103"/>
    </row>
    <row r="188" spans="1:7" s="211" customFormat="1" ht="51" x14ac:dyDescent="0.2">
      <c r="A188" s="74">
        <v>210211390</v>
      </c>
      <c r="B188" s="206"/>
      <c r="C188" s="207" t="s">
        <v>820</v>
      </c>
      <c r="D188" s="208">
        <f>D189</f>
        <v>44.5</v>
      </c>
      <c r="E188" s="39">
        <f t="shared" ref="E188:F188" si="42">E189</f>
        <v>0</v>
      </c>
      <c r="F188" s="39">
        <f t="shared" si="42"/>
        <v>0</v>
      </c>
      <c r="G188" s="103"/>
    </row>
    <row r="189" spans="1:7" s="211" customFormat="1" x14ac:dyDescent="0.2">
      <c r="A189" s="74">
        <v>210211390</v>
      </c>
      <c r="B189" s="21" t="s">
        <v>225</v>
      </c>
      <c r="C189" s="209" t="s">
        <v>224</v>
      </c>
      <c r="D189" s="39">
        <v>44.5</v>
      </c>
      <c r="E189" s="39">
        <v>0</v>
      </c>
      <c r="F189" s="39">
        <v>0</v>
      </c>
      <c r="G189" s="103"/>
    </row>
    <row r="190" spans="1:7" s="211" customFormat="1" ht="63.75" x14ac:dyDescent="0.2">
      <c r="A190" s="74" t="s">
        <v>821</v>
      </c>
      <c r="B190" s="21"/>
      <c r="C190" s="108" t="s">
        <v>822</v>
      </c>
      <c r="D190" s="39">
        <f>D191</f>
        <v>0.4</v>
      </c>
      <c r="E190" s="39">
        <f t="shared" ref="E190:F190" si="43">E191</f>
        <v>0</v>
      </c>
      <c r="F190" s="39">
        <f t="shared" si="43"/>
        <v>0</v>
      </c>
      <c r="G190" s="103"/>
    </row>
    <row r="191" spans="1:7" s="211" customFormat="1" x14ac:dyDescent="0.2">
      <c r="A191" s="74" t="s">
        <v>821</v>
      </c>
      <c r="B191" s="21" t="s">
        <v>225</v>
      </c>
      <c r="C191" s="98" t="s">
        <v>224</v>
      </c>
      <c r="D191" s="39">
        <v>0.4</v>
      </c>
      <c r="E191" s="39">
        <v>0</v>
      </c>
      <c r="F191" s="39">
        <v>0</v>
      </c>
      <c r="G191" s="103"/>
    </row>
    <row r="192" spans="1:7" ht="51" x14ac:dyDescent="0.2">
      <c r="A192" s="21" t="s">
        <v>254</v>
      </c>
      <c r="B192" s="35"/>
      <c r="C192" s="98" t="s">
        <v>253</v>
      </c>
      <c r="D192" s="41">
        <f>D193+D195+D197</f>
        <v>3513.7999999999993</v>
      </c>
      <c r="E192" s="41">
        <f t="shared" ref="E192:F192" si="44">E193+E195+E197</f>
        <v>2095</v>
      </c>
      <c r="F192" s="41">
        <f t="shared" si="44"/>
        <v>35</v>
      </c>
      <c r="G192" s="103"/>
    </row>
    <row r="193" spans="1:7" ht="51" x14ac:dyDescent="0.2">
      <c r="A193" s="125" t="s">
        <v>441</v>
      </c>
      <c r="B193" s="82"/>
      <c r="C193" s="130" t="s">
        <v>366</v>
      </c>
      <c r="D193" s="39">
        <f>D194</f>
        <v>192.1</v>
      </c>
      <c r="E193" s="39">
        <f>E194</f>
        <v>35</v>
      </c>
      <c r="F193" s="39">
        <f>F194</f>
        <v>35</v>
      </c>
      <c r="G193" s="103"/>
    </row>
    <row r="194" spans="1:7" x14ac:dyDescent="0.2">
      <c r="A194" s="125" t="s">
        <v>441</v>
      </c>
      <c r="B194" s="21" t="s">
        <v>225</v>
      </c>
      <c r="C194" s="98" t="s">
        <v>224</v>
      </c>
      <c r="D194" s="39">
        <f>4+188.1</f>
        <v>192.1</v>
      </c>
      <c r="E194" s="39">
        <v>35</v>
      </c>
      <c r="F194" s="39">
        <v>35</v>
      </c>
      <c r="G194" s="103"/>
    </row>
    <row r="195" spans="1:7" ht="38.25" x14ac:dyDescent="0.2">
      <c r="A195" s="133" t="s">
        <v>721</v>
      </c>
      <c r="B195" s="21"/>
      <c r="C195" s="98" t="s">
        <v>722</v>
      </c>
      <c r="D195" s="39">
        <f>D196</f>
        <v>3121.6999999999994</v>
      </c>
      <c r="E195" s="39">
        <f>E196</f>
        <v>2060</v>
      </c>
      <c r="F195" s="39">
        <f>F196</f>
        <v>0</v>
      </c>
      <c r="G195" s="103"/>
    </row>
    <row r="196" spans="1:7" x14ac:dyDescent="0.2">
      <c r="A196" s="133" t="s">
        <v>721</v>
      </c>
      <c r="B196" s="21" t="s">
        <v>225</v>
      </c>
      <c r="C196" s="98" t="s">
        <v>224</v>
      </c>
      <c r="D196" s="39">
        <f>192+2060.1+2929.7-2060.1</f>
        <v>3121.6999999999994</v>
      </c>
      <c r="E196" s="39">
        <v>2060</v>
      </c>
      <c r="F196" s="39">
        <v>0</v>
      </c>
      <c r="G196" s="103"/>
    </row>
    <row r="197" spans="1:7" ht="38.25" x14ac:dyDescent="0.2">
      <c r="A197" s="162" t="s">
        <v>757</v>
      </c>
      <c r="B197" s="82"/>
      <c r="C197" s="124" t="s">
        <v>754</v>
      </c>
      <c r="D197" s="39">
        <f>D198</f>
        <v>200</v>
      </c>
      <c r="E197" s="39">
        <f t="shared" ref="E197:F197" si="45">E198</f>
        <v>0</v>
      </c>
      <c r="F197" s="39">
        <f t="shared" si="45"/>
        <v>0</v>
      </c>
      <c r="G197" s="103"/>
    </row>
    <row r="198" spans="1:7" x14ac:dyDescent="0.2">
      <c r="A198" s="162" t="s">
        <v>757</v>
      </c>
      <c r="B198" s="21" t="s">
        <v>225</v>
      </c>
      <c r="C198" s="98" t="s">
        <v>224</v>
      </c>
      <c r="D198" s="39">
        <v>200</v>
      </c>
      <c r="E198" s="39">
        <v>0</v>
      </c>
      <c r="F198" s="39">
        <v>0</v>
      </c>
      <c r="G198" s="103"/>
    </row>
    <row r="199" spans="1:7" ht="76.5" x14ac:dyDescent="0.2">
      <c r="A199" s="21" t="s">
        <v>717</v>
      </c>
      <c r="B199" s="35"/>
      <c r="C199" s="98" t="s">
        <v>718</v>
      </c>
      <c r="D199" s="41">
        <f>D200</f>
        <v>420.3</v>
      </c>
      <c r="E199" s="41">
        <f t="shared" ref="E199:F199" si="46">E200+E202</f>
        <v>0</v>
      </c>
      <c r="F199" s="41">
        <f t="shared" si="46"/>
        <v>0</v>
      </c>
      <c r="G199" s="103"/>
    </row>
    <row r="200" spans="1:7" ht="51" x14ac:dyDescent="0.2">
      <c r="A200" s="133" t="s">
        <v>719</v>
      </c>
      <c r="B200" s="21"/>
      <c r="C200" s="124" t="s">
        <v>720</v>
      </c>
      <c r="D200" s="39">
        <f>D201</f>
        <v>420.3</v>
      </c>
      <c r="E200" s="39">
        <f t="shared" ref="E200:F200" si="47">E201</f>
        <v>0</v>
      </c>
      <c r="F200" s="39">
        <f t="shared" si="47"/>
        <v>0</v>
      </c>
      <c r="G200" s="103"/>
    </row>
    <row r="201" spans="1:7" x14ac:dyDescent="0.2">
      <c r="A201" s="133" t="s">
        <v>719</v>
      </c>
      <c r="B201" s="21" t="s">
        <v>225</v>
      </c>
      <c r="C201" s="98" t="s">
        <v>224</v>
      </c>
      <c r="D201" s="39">
        <v>420.3</v>
      </c>
      <c r="E201" s="39">
        <v>0</v>
      </c>
      <c r="F201" s="39">
        <v>0</v>
      </c>
      <c r="G201" s="103"/>
    </row>
    <row r="202" spans="1:7" ht="38.25" x14ac:dyDescent="0.2">
      <c r="A202" s="133" t="s">
        <v>669</v>
      </c>
      <c r="B202" s="21"/>
      <c r="C202" s="98" t="s">
        <v>670</v>
      </c>
      <c r="D202" s="39">
        <f>D203</f>
        <v>12509.300000000001</v>
      </c>
      <c r="E202" s="39">
        <f t="shared" ref="E202:F203" si="48">E203</f>
        <v>0</v>
      </c>
      <c r="F202" s="39">
        <f t="shared" si="48"/>
        <v>0</v>
      </c>
      <c r="G202" s="103"/>
    </row>
    <row r="203" spans="1:7" ht="25.5" x14ac:dyDescent="0.2">
      <c r="A203" s="125" t="s">
        <v>671</v>
      </c>
      <c r="B203" s="21"/>
      <c r="C203" s="124" t="s">
        <v>672</v>
      </c>
      <c r="D203" s="39">
        <f>D204</f>
        <v>12509.300000000001</v>
      </c>
      <c r="E203" s="39">
        <f t="shared" si="48"/>
        <v>0</v>
      </c>
      <c r="F203" s="39">
        <f t="shared" si="48"/>
        <v>0</v>
      </c>
      <c r="G203" s="103"/>
    </row>
    <row r="204" spans="1:7" x14ac:dyDescent="0.2">
      <c r="A204" s="125" t="s">
        <v>671</v>
      </c>
      <c r="B204" s="21" t="s">
        <v>225</v>
      </c>
      <c r="C204" s="98" t="s">
        <v>224</v>
      </c>
      <c r="D204" s="39">
        <f>125.1+12384.2</f>
        <v>12509.300000000001</v>
      </c>
      <c r="E204" s="39">
        <v>0</v>
      </c>
      <c r="F204" s="39">
        <v>0</v>
      </c>
      <c r="G204" s="103"/>
    </row>
    <row r="205" spans="1:7" ht="37.5" customHeight="1" x14ac:dyDescent="0.2">
      <c r="A205" s="133" t="s">
        <v>442</v>
      </c>
      <c r="B205" s="21"/>
      <c r="C205" s="98" t="s">
        <v>443</v>
      </c>
      <c r="D205" s="39">
        <f>D206</f>
        <v>0</v>
      </c>
      <c r="E205" s="39">
        <f t="shared" ref="E205:F205" si="49">E206</f>
        <v>1</v>
      </c>
      <c r="F205" s="39">
        <f t="shared" si="49"/>
        <v>1</v>
      </c>
      <c r="G205" s="103"/>
    </row>
    <row r="206" spans="1:7" ht="48.75" customHeight="1" x14ac:dyDescent="0.2">
      <c r="A206" s="133" t="s">
        <v>445</v>
      </c>
      <c r="B206" s="21"/>
      <c r="C206" s="98" t="s">
        <v>444</v>
      </c>
      <c r="D206" s="39">
        <f>D207</f>
        <v>0</v>
      </c>
      <c r="E206" s="39">
        <f>E207</f>
        <v>1</v>
      </c>
      <c r="F206" s="39">
        <f>F207</f>
        <v>1</v>
      </c>
      <c r="G206" s="103"/>
    </row>
    <row r="207" spans="1:7" x14ac:dyDescent="0.2">
      <c r="A207" s="133" t="s">
        <v>445</v>
      </c>
      <c r="B207" s="21" t="s">
        <v>225</v>
      </c>
      <c r="C207" s="98" t="s">
        <v>224</v>
      </c>
      <c r="D207" s="39">
        <f>1-1</f>
        <v>0</v>
      </c>
      <c r="E207" s="39">
        <v>1</v>
      </c>
      <c r="F207" s="39">
        <v>1</v>
      </c>
      <c r="G207" s="103"/>
    </row>
    <row r="208" spans="1:7" ht="25.5" x14ac:dyDescent="0.2">
      <c r="A208" s="21" t="s">
        <v>446</v>
      </c>
      <c r="B208" s="35"/>
      <c r="C208" s="101" t="s">
        <v>255</v>
      </c>
      <c r="D208" s="41">
        <f>D209+D211</f>
        <v>674</v>
      </c>
      <c r="E208" s="41">
        <f t="shared" ref="E208:F208" si="50">E209+E211</f>
        <v>574</v>
      </c>
      <c r="F208" s="41">
        <f t="shared" si="50"/>
        <v>574</v>
      </c>
      <c r="G208" s="103"/>
    </row>
    <row r="209" spans="1:7" ht="38.25" x14ac:dyDescent="0.2">
      <c r="A209" s="21" t="s">
        <v>447</v>
      </c>
      <c r="B209" s="16"/>
      <c r="C209" s="98" t="s">
        <v>174</v>
      </c>
      <c r="D209" s="41">
        <f t="shared" ref="D209:F209" si="51">D210</f>
        <v>574</v>
      </c>
      <c r="E209" s="41">
        <f t="shared" si="51"/>
        <v>574</v>
      </c>
      <c r="F209" s="41">
        <f t="shared" si="51"/>
        <v>574</v>
      </c>
      <c r="G209" s="103"/>
    </row>
    <row r="210" spans="1:7" ht="38.25" x14ac:dyDescent="0.2">
      <c r="A210" s="21" t="s">
        <v>447</v>
      </c>
      <c r="B210" s="82" t="s">
        <v>211</v>
      </c>
      <c r="C210" s="98" t="s">
        <v>212</v>
      </c>
      <c r="D210" s="41">
        <v>574</v>
      </c>
      <c r="E210" s="41">
        <v>574</v>
      </c>
      <c r="F210" s="41">
        <v>574</v>
      </c>
      <c r="G210" s="103"/>
    </row>
    <row r="211" spans="1:7" ht="25.5" x14ac:dyDescent="0.2">
      <c r="A211" s="21" t="s">
        <v>755</v>
      </c>
      <c r="B211" s="82"/>
      <c r="C211" s="108" t="s">
        <v>756</v>
      </c>
      <c r="D211" s="41">
        <f>D212</f>
        <v>100</v>
      </c>
      <c r="E211" s="41">
        <f t="shared" ref="E211:F211" si="52">E212</f>
        <v>0</v>
      </c>
      <c r="F211" s="41">
        <f t="shared" si="52"/>
        <v>0</v>
      </c>
      <c r="G211" s="103"/>
    </row>
    <row r="212" spans="1:7" ht="38.25" x14ac:dyDescent="0.2">
      <c r="A212" s="175" t="s">
        <v>755</v>
      </c>
      <c r="B212" s="82" t="s">
        <v>211</v>
      </c>
      <c r="C212" s="98" t="s">
        <v>212</v>
      </c>
      <c r="D212" s="41">
        <v>100</v>
      </c>
      <c r="E212" s="41">
        <v>0</v>
      </c>
      <c r="F212" s="41">
        <v>0</v>
      </c>
      <c r="G212" s="103"/>
    </row>
    <row r="213" spans="1:7" ht="25.5" x14ac:dyDescent="0.2">
      <c r="A213" s="52" t="s">
        <v>43</v>
      </c>
      <c r="B213" s="35"/>
      <c r="C213" s="48" t="s">
        <v>201</v>
      </c>
      <c r="D213" s="58">
        <f>D214</f>
        <v>6706.1</v>
      </c>
      <c r="E213" s="58">
        <f t="shared" ref="E213:F213" si="53">E214</f>
        <v>706.1</v>
      </c>
      <c r="F213" s="58">
        <f t="shared" si="53"/>
        <v>706.1</v>
      </c>
      <c r="G213" s="103"/>
    </row>
    <row r="214" spans="1:7" ht="76.5" x14ac:dyDescent="0.2">
      <c r="A214" s="21" t="s">
        <v>256</v>
      </c>
      <c r="B214" s="35"/>
      <c r="C214" s="99" t="s">
        <v>257</v>
      </c>
      <c r="D214" s="58">
        <f>D215+D218+D221</f>
        <v>6706.1</v>
      </c>
      <c r="E214" s="58">
        <f t="shared" ref="E214:F214" si="54">E215+E218+E221</f>
        <v>706.1</v>
      </c>
      <c r="F214" s="58">
        <f t="shared" si="54"/>
        <v>706.1</v>
      </c>
      <c r="G214" s="103"/>
    </row>
    <row r="215" spans="1:7" ht="76.5" x14ac:dyDescent="0.2">
      <c r="A215" s="21" t="s">
        <v>448</v>
      </c>
      <c r="B215" s="21"/>
      <c r="C215" s="99" t="s">
        <v>176</v>
      </c>
      <c r="D215" s="39">
        <f>SUM(D216:D217)</f>
        <v>615.1</v>
      </c>
      <c r="E215" s="39">
        <f>SUM(E217:E217)</f>
        <v>615.1</v>
      </c>
      <c r="F215" s="39">
        <f>SUM(F217:F217)</f>
        <v>615.1</v>
      </c>
      <c r="G215" s="103"/>
    </row>
    <row r="216" spans="1:7" ht="25.5" x14ac:dyDescent="0.2">
      <c r="A216" s="21" t="s">
        <v>448</v>
      </c>
      <c r="B216" s="82" t="s">
        <v>64</v>
      </c>
      <c r="C216" s="55" t="s">
        <v>130</v>
      </c>
      <c r="D216" s="39">
        <v>131.30000000000001</v>
      </c>
      <c r="E216" s="39">
        <v>0</v>
      </c>
      <c r="F216" s="39">
        <v>0</v>
      </c>
      <c r="G216" s="103"/>
    </row>
    <row r="217" spans="1:7" ht="38.25" x14ac:dyDescent="0.2">
      <c r="A217" s="21" t="s">
        <v>448</v>
      </c>
      <c r="B217" s="82" t="s">
        <v>211</v>
      </c>
      <c r="C217" s="98" t="s">
        <v>212</v>
      </c>
      <c r="D217" s="39">
        <f>615.1-131.3</f>
        <v>483.8</v>
      </c>
      <c r="E217" s="39">
        <v>615.1</v>
      </c>
      <c r="F217" s="39">
        <v>615.1</v>
      </c>
      <c r="G217" s="103"/>
    </row>
    <row r="218" spans="1:7" ht="51" x14ac:dyDescent="0.2">
      <c r="A218" s="21" t="s">
        <v>449</v>
      </c>
      <c r="B218" s="21"/>
      <c r="C218" s="99" t="s">
        <v>61</v>
      </c>
      <c r="D218" s="39">
        <f>SUM(D219:D220)</f>
        <v>91</v>
      </c>
      <c r="E218" s="39">
        <f>SUM(E219:E220)</f>
        <v>91</v>
      </c>
      <c r="F218" s="39">
        <f>SUM(F219:F220)</f>
        <v>91</v>
      </c>
      <c r="G218" s="103"/>
    </row>
    <row r="219" spans="1:7" ht="25.5" x14ac:dyDescent="0.2">
      <c r="A219" s="21" t="s">
        <v>449</v>
      </c>
      <c r="B219" s="82" t="s">
        <v>64</v>
      </c>
      <c r="C219" s="55" t="s">
        <v>130</v>
      </c>
      <c r="D219" s="39">
        <v>46</v>
      </c>
      <c r="E219" s="39">
        <v>46</v>
      </c>
      <c r="F219" s="39">
        <v>46</v>
      </c>
      <c r="G219" s="103"/>
    </row>
    <row r="220" spans="1:7" ht="38.25" x14ac:dyDescent="0.2">
      <c r="A220" s="21" t="s">
        <v>449</v>
      </c>
      <c r="B220" s="82" t="s">
        <v>211</v>
      </c>
      <c r="C220" s="98" t="s">
        <v>212</v>
      </c>
      <c r="D220" s="39">
        <v>45</v>
      </c>
      <c r="E220" s="39">
        <v>45</v>
      </c>
      <c r="F220" s="39">
        <v>45</v>
      </c>
      <c r="G220" s="103"/>
    </row>
    <row r="221" spans="1:7" ht="25.5" x14ac:dyDescent="0.2">
      <c r="A221" s="21" t="s">
        <v>707</v>
      </c>
      <c r="B221" s="82"/>
      <c r="C221" s="98" t="s">
        <v>708</v>
      </c>
      <c r="D221" s="39">
        <f>D222</f>
        <v>6000</v>
      </c>
      <c r="E221" s="39">
        <f t="shared" ref="E221:F221" si="55">E222</f>
        <v>0</v>
      </c>
      <c r="F221" s="39">
        <f t="shared" si="55"/>
        <v>0</v>
      </c>
      <c r="G221" s="103"/>
    </row>
    <row r="222" spans="1:7" ht="38.25" x14ac:dyDescent="0.2">
      <c r="A222" s="21" t="s">
        <v>707</v>
      </c>
      <c r="B222" s="82" t="s">
        <v>211</v>
      </c>
      <c r="C222" s="98" t="s">
        <v>212</v>
      </c>
      <c r="D222" s="39">
        <v>6000</v>
      </c>
      <c r="E222" s="39">
        <v>0</v>
      </c>
      <c r="F222" s="39">
        <v>0</v>
      </c>
      <c r="G222" s="103"/>
    </row>
    <row r="223" spans="1:7" ht="25.5" x14ac:dyDescent="0.2">
      <c r="A223" s="52" t="s">
        <v>30</v>
      </c>
      <c r="B223" s="21"/>
      <c r="C223" s="48" t="s">
        <v>177</v>
      </c>
      <c r="D223" s="41">
        <f>D224+D233+D236</f>
        <v>12265</v>
      </c>
      <c r="E223" s="41">
        <f>E224+E233+E236</f>
        <v>7677.4</v>
      </c>
      <c r="F223" s="41">
        <f>F224+F233+F236</f>
        <v>7677.4</v>
      </c>
      <c r="G223" s="103"/>
    </row>
    <row r="224" spans="1:7" ht="25.5" x14ac:dyDescent="0.2">
      <c r="A224" s="21" t="s">
        <v>209</v>
      </c>
      <c r="B224" s="16"/>
      <c r="C224" s="101" t="s">
        <v>308</v>
      </c>
      <c r="D224" s="41">
        <f>D225+D227+D229+D231</f>
        <v>361.20000000000005</v>
      </c>
      <c r="E224" s="41">
        <f>E225+E227+E229+E231</f>
        <v>361.20000000000005</v>
      </c>
      <c r="F224" s="41">
        <f>F225+F227+F229+F231</f>
        <v>361.20000000000005</v>
      </c>
      <c r="G224" s="103"/>
    </row>
    <row r="225" spans="1:7" ht="51" x14ac:dyDescent="0.2">
      <c r="A225" s="135" t="s">
        <v>450</v>
      </c>
      <c r="B225" s="16"/>
      <c r="C225" s="100" t="s">
        <v>206</v>
      </c>
      <c r="D225" s="39">
        <f>D226</f>
        <v>6.6</v>
      </c>
      <c r="E225" s="39">
        <f>E226</f>
        <v>6.6</v>
      </c>
      <c r="F225" s="39">
        <f>F226</f>
        <v>6.6</v>
      </c>
      <c r="G225" s="103"/>
    </row>
    <row r="226" spans="1:7" ht="38.25" x14ac:dyDescent="0.2">
      <c r="A226" s="135" t="s">
        <v>450</v>
      </c>
      <c r="B226" s="82" t="s">
        <v>211</v>
      </c>
      <c r="C226" s="98" t="s">
        <v>212</v>
      </c>
      <c r="D226" s="41">
        <v>6.6</v>
      </c>
      <c r="E226" s="41">
        <v>6.6</v>
      </c>
      <c r="F226" s="41">
        <v>6.6</v>
      </c>
      <c r="G226" s="103"/>
    </row>
    <row r="227" spans="1:7" ht="25.5" x14ac:dyDescent="0.2">
      <c r="A227" s="135" t="s">
        <v>451</v>
      </c>
      <c r="B227" s="16"/>
      <c r="C227" s="98" t="s">
        <v>178</v>
      </c>
      <c r="D227" s="41">
        <f>D228</f>
        <v>289.60000000000002</v>
      </c>
      <c r="E227" s="41">
        <f>E228</f>
        <v>289.60000000000002</v>
      </c>
      <c r="F227" s="41">
        <f>F228</f>
        <v>289.60000000000002</v>
      </c>
      <c r="G227" s="103"/>
    </row>
    <row r="228" spans="1:7" ht="38.25" x14ac:dyDescent="0.2">
      <c r="A228" s="135" t="s">
        <v>451</v>
      </c>
      <c r="B228" s="82" t="s">
        <v>211</v>
      </c>
      <c r="C228" s="98" t="s">
        <v>212</v>
      </c>
      <c r="D228" s="41">
        <v>289.60000000000002</v>
      </c>
      <c r="E228" s="41">
        <v>289.60000000000002</v>
      </c>
      <c r="F228" s="41">
        <v>289.60000000000002</v>
      </c>
      <c r="G228" s="103"/>
    </row>
    <row r="229" spans="1:7" ht="51" x14ac:dyDescent="0.2">
      <c r="A229" s="135" t="s">
        <v>452</v>
      </c>
      <c r="B229" s="16"/>
      <c r="C229" s="98" t="s">
        <v>77</v>
      </c>
      <c r="D229" s="41">
        <f>D230</f>
        <v>15</v>
      </c>
      <c r="E229" s="41">
        <f>E230</f>
        <v>15</v>
      </c>
      <c r="F229" s="41">
        <f>F230</f>
        <v>15</v>
      </c>
      <c r="G229" s="103"/>
    </row>
    <row r="230" spans="1:7" ht="38.25" x14ac:dyDescent="0.2">
      <c r="A230" s="135" t="s">
        <v>452</v>
      </c>
      <c r="B230" s="82" t="s">
        <v>211</v>
      </c>
      <c r="C230" s="98" t="s">
        <v>212</v>
      </c>
      <c r="D230" s="41">
        <v>15</v>
      </c>
      <c r="E230" s="41">
        <v>15</v>
      </c>
      <c r="F230" s="41">
        <v>15</v>
      </c>
      <c r="G230" s="103"/>
    </row>
    <row r="231" spans="1:7" x14ac:dyDescent="0.2">
      <c r="A231" s="135" t="s">
        <v>453</v>
      </c>
      <c r="B231" s="82"/>
      <c r="C231" s="54" t="s">
        <v>374</v>
      </c>
      <c r="D231" s="41">
        <f>D232</f>
        <v>50</v>
      </c>
      <c r="E231" s="41">
        <f>E232</f>
        <v>50</v>
      </c>
      <c r="F231" s="41">
        <f>F232</f>
        <v>50</v>
      </c>
      <c r="G231" s="103"/>
    </row>
    <row r="232" spans="1:7" ht="38.25" x14ac:dyDescent="0.2">
      <c r="A232" s="135" t="s">
        <v>453</v>
      </c>
      <c r="B232" s="82" t="s">
        <v>211</v>
      </c>
      <c r="C232" s="98" t="s">
        <v>212</v>
      </c>
      <c r="D232" s="41">
        <v>50</v>
      </c>
      <c r="E232" s="41">
        <v>50</v>
      </c>
      <c r="F232" s="41">
        <v>50</v>
      </c>
      <c r="G232" s="103"/>
    </row>
    <row r="233" spans="1:7" ht="76.5" x14ac:dyDescent="0.2">
      <c r="A233" s="21" t="s">
        <v>258</v>
      </c>
      <c r="B233" s="16"/>
      <c r="C233" s="101" t="s">
        <v>259</v>
      </c>
      <c r="D233" s="41">
        <f t="shared" ref="D233:F234" si="56">D234</f>
        <v>11039.8</v>
      </c>
      <c r="E233" s="41">
        <f t="shared" si="56"/>
        <v>7316.2</v>
      </c>
      <c r="F233" s="41">
        <f t="shared" si="56"/>
        <v>7316.2</v>
      </c>
      <c r="G233" s="103"/>
    </row>
    <row r="234" spans="1:7" ht="38.25" x14ac:dyDescent="0.2">
      <c r="A234" s="74">
        <v>230221100</v>
      </c>
      <c r="B234" s="16"/>
      <c r="C234" s="98" t="s">
        <v>0</v>
      </c>
      <c r="D234" s="41">
        <f t="shared" si="56"/>
        <v>11039.8</v>
      </c>
      <c r="E234" s="41">
        <f t="shared" si="56"/>
        <v>7316.2</v>
      </c>
      <c r="F234" s="41">
        <f t="shared" si="56"/>
        <v>7316.2</v>
      </c>
      <c r="G234" s="103"/>
    </row>
    <row r="235" spans="1:7" x14ac:dyDescent="0.2">
      <c r="A235" s="74">
        <v>230221100</v>
      </c>
      <c r="B235" s="82" t="s">
        <v>225</v>
      </c>
      <c r="C235" s="98" t="s">
        <v>224</v>
      </c>
      <c r="D235" s="41">
        <f>10339.8+700</f>
        <v>11039.8</v>
      </c>
      <c r="E235" s="41">
        <v>7316.2</v>
      </c>
      <c r="F235" s="41">
        <v>7316.2</v>
      </c>
      <c r="G235" s="103"/>
    </row>
    <row r="236" spans="1:7" ht="63.75" x14ac:dyDescent="0.2">
      <c r="A236" s="21" t="s">
        <v>456</v>
      </c>
      <c r="B236" s="82"/>
      <c r="C236" s="98" t="s">
        <v>455</v>
      </c>
      <c r="D236" s="41">
        <f>D237+D239</f>
        <v>864</v>
      </c>
      <c r="E236" s="41">
        <f t="shared" ref="E236:F236" si="57">E237+E239</f>
        <v>0</v>
      </c>
      <c r="F236" s="41">
        <f t="shared" si="57"/>
        <v>0</v>
      </c>
      <c r="G236" s="103"/>
    </row>
    <row r="237" spans="1:7" ht="53.25" customHeight="1" x14ac:dyDescent="0.2">
      <c r="A237" s="74">
        <v>230321210</v>
      </c>
      <c r="B237" s="82"/>
      <c r="C237" s="98" t="s">
        <v>454</v>
      </c>
      <c r="D237" s="41">
        <f t="shared" ref="D237:F237" si="58">D238</f>
        <v>90</v>
      </c>
      <c r="E237" s="41">
        <f t="shared" si="58"/>
        <v>0</v>
      </c>
      <c r="F237" s="41">
        <f t="shared" si="58"/>
        <v>0</v>
      </c>
      <c r="G237" s="103"/>
    </row>
    <row r="238" spans="1:7" x14ac:dyDescent="0.2">
      <c r="A238" s="74">
        <v>230321210</v>
      </c>
      <c r="B238" s="21" t="s">
        <v>225</v>
      </c>
      <c r="C238" s="98" t="s">
        <v>224</v>
      </c>
      <c r="D238" s="41">
        <v>90</v>
      </c>
      <c r="E238" s="41">
        <v>0</v>
      </c>
      <c r="F238" s="41">
        <v>0</v>
      </c>
      <c r="G238" s="103"/>
    </row>
    <row r="239" spans="1:7" ht="38.25" x14ac:dyDescent="0.2">
      <c r="A239" s="74">
        <v>230321220</v>
      </c>
      <c r="B239" s="21"/>
      <c r="C239" s="98" t="s">
        <v>679</v>
      </c>
      <c r="D239" s="41">
        <f>D240</f>
        <v>774</v>
      </c>
      <c r="E239" s="41">
        <f t="shared" ref="E239:F239" si="59">E240</f>
        <v>0</v>
      </c>
      <c r="F239" s="41">
        <f t="shared" si="59"/>
        <v>0</v>
      </c>
      <c r="G239" s="103"/>
    </row>
    <row r="240" spans="1:7" x14ac:dyDescent="0.2">
      <c r="A240" s="74">
        <v>230321220</v>
      </c>
      <c r="B240" s="21" t="s">
        <v>225</v>
      </c>
      <c r="C240" s="98" t="s">
        <v>224</v>
      </c>
      <c r="D240" s="41">
        <f>474+300</f>
        <v>774</v>
      </c>
      <c r="E240" s="41">
        <v>0</v>
      </c>
      <c r="F240" s="41">
        <v>0</v>
      </c>
      <c r="G240" s="103"/>
    </row>
    <row r="241" spans="1:7" x14ac:dyDescent="0.2">
      <c r="A241" s="52" t="s">
        <v>31</v>
      </c>
      <c r="B241" s="21"/>
      <c r="C241" s="66" t="s">
        <v>46</v>
      </c>
      <c r="D241" s="58">
        <f>D242</f>
        <v>3564.6</v>
      </c>
      <c r="E241" s="58">
        <f>E242</f>
        <v>3454.5</v>
      </c>
      <c r="F241" s="58">
        <f>F242</f>
        <v>3454.5</v>
      </c>
      <c r="G241" s="103"/>
    </row>
    <row r="242" spans="1:7" ht="63.75" x14ac:dyDescent="0.2">
      <c r="A242" s="80">
        <v>290022200</v>
      </c>
      <c r="B242" s="21"/>
      <c r="C242" s="98" t="s">
        <v>261</v>
      </c>
      <c r="D242" s="94">
        <f>SUM(D243:D245)</f>
        <v>3564.6</v>
      </c>
      <c r="E242" s="94">
        <f>SUM(E243:E244)</f>
        <v>3454.5</v>
      </c>
      <c r="F242" s="94">
        <f>SUM(F243:F244)</f>
        <v>3454.5</v>
      </c>
      <c r="G242" s="103"/>
    </row>
    <row r="243" spans="1:7" ht="25.5" x14ac:dyDescent="0.2">
      <c r="A243" s="80">
        <v>290022200</v>
      </c>
      <c r="B243" s="16" t="s">
        <v>62</v>
      </c>
      <c r="C243" s="55" t="s">
        <v>63</v>
      </c>
      <c r="D243" s="94">
        <f>3380.7+110.1-55</f>
        <v>3435.7999999999997</v>
      </c>
      <c r="E243" s="94">
        <v>3380.7</v>
      </c>
      <c r="F243" s="94">
        <v>3380.7</v>
      </c>
      <c r="G243" s="103"/>
    </row>
    <row r="244" spans="1:7" ht="38.25" x14ac:dyDescent="0.2">
      <c r="A244" s="80">
        <v>290022200</v>
      </c>
      <c r="B244" s="82" t="s">
        <v>211</v>
      </c>
      <c r="C244" s="98" t="s">
        <v>212</v>
      </c>
      <c r="D244" s="41">
        <v>73.8</v>
      </c>
      <c r="E244" s="41">
        <v>73.8</v>
      </c>
      <c r="F244" s="41">
        <v>73.8</v>
      </c>
      <c r="G244" s="103"/>
    </row>
    <row r="245" spans="1:7" ht="28.5" customHeight="1" x14ac:dyDescent="0.2">
      <c r="A245" s="80">
        <v>290022200</v>
      </c>
      <c r="B245" s="82" t="s">
        <v>260</v>
      </c>
      <c r="C245" s="98" t="s">
        <v>249</v>
      </c>
      <c r="D245" s="41">
        <v>55</v>
      </c>
      <c r="E245" s="41">
        <v>0</v>
      </c>
      <c r="F245" s="41">
        <v>0</v>
      </c>
      <c r="G245" s="103"/>
    </row>
    <row r="246" spans="1:7" ht="77.25" customHeight="1" x14ac:dyDescent="0.2">
      <c r="A246" s="73" t="s">
        <v>69</v>
      </c>
      <c r="B246" s="16"/>
      <c r="C246" s="142" t="s">
        <v>576</v>
      </c>
      <c r="D246" s="96">
        <f>D247+D277</f>
        <v>169149.5</v>
      </c>
      <c r="E246" s="96">
        <f>E247+E277</f>
        <v>52154.399999999994</v>
      </c>
      <c r="F246" s="96">
        <f>F247+F277</f>
        <v>10252.299999999999</v>
      </c>
    </row>
    <row r="247" spans="1:7" ht="25.5" x14ac:dyDescent="0.2">
      <c r="A247" s="52" t="s">
        <v>70</v>
      </c>
      <c r="B247" s="16"/>
      <c r="C247" s="48" t="s">
        <v>157</v>
      </c>
      <c r="D247" s="93">
        <f>D248+D251</f>
        <v>165664.79999999999</v>
      </c>
      <c r="E247" s="93">
        <f>E248+E251</f>
        <v>49818.299999999996</v>
      </c>
      <c r="F247" s="93">
        <f>F248+F251</f>
        <v>7916.2</v>
      </c>
    </row>
    <row r="248" spans="1:7" ht="38.25" x14ac:dyDescent="0.2">
      <c r="A248" s="21" t="s">
        <v>242</v>
      </c>
      <c r="B248" s="16"/>
      <c r="C248" s="99" t="s">
        <v>243</v>
      </c>
      <c r="D248" s="39">
        <f t="shared" ref="D248:F249" si="60">D249</f>
        <v>250</v>
      </c>
      <c r="E248" s="39">
        <f t="shared" si="60"/>
        <v>250</v>
      </c>
      <c r="F248" s="39">
        <f t="shared" si="60"/>
        <v>250</v>
      </c>
    </row>
    <row r="249" spans="1:7" ht="38.25" x14ac:dyDescent="0.2">
      <c r="A249" s="82" t="s">
        <v>457</v>
      </c>
      <c r="B249" s="16"/>
      <c r="C249" s="97" t="s">
        <v>158</v>
      </c>
      <c r="D249" s="41">
        <f t="shared" si="60"/>
        <v>250</v>
      </c>
      <c r="E249" s="41">
        <f t="shared" si="60"/>
        <v>250</v>
      </c>
      <c r="F249" s="41">
        <f t="shared" si="60"/>
        <v>250</v>
      </c>
    </row>
    <row r="250" spans="1:7" ht="38.25" x14ac:dyDescent="0.2">
      <c r="A250" s="82" t="s">
        <v>457</v>
      </c>
      <c r="B250" s="82" t="s">
        <v>211</v>
      </c>
      <c r="C250" s="98" t="s">
        <v>212</v>
      </c>
      <c r="D250" s="41">
        <v>250</v>
      </c>
      <c r="E250" s="41">
        <v>250</v>
      </c>
      <c r="F250" s="41">
        <v>250</v>
      </c>
    </row>
    <row r="251" spans="1:7" ht="51.75" customHeight="1" x14ac:dyDescent="0.2">
      <c r="A251" s="21" t="s">
        <v>244</v>
      </c>
      <c r="B251" s="82"/>
      <c r="C251" s="99" t="s">
        <v>245</v>
      </c>
      <c r="D251" s="41">
        <f>D252+D254+D256+D259+D261+D263+D265+D267+D269+D271+D273+D275</f>
        <v>165414.79999999999</v>
      </c>
      <c r="E251" s="41">
        <f t="shared" ref="E251:F251" si="61">E252+E254+E256+E259+E261+E263+E265+E267+E269+E271+E273+E275</f>
        <v>49568.299999999996</v>
      </c>
      <c r="F251" s="41">
        <f t="shared" si="61"/>
        <v>7666.2</v>
      </c>
    </row>
    <row r="252" spans="1:7" ht="51" x14ac:dyDescent="0.2">
      <c r="A252" s="135" t="s">
        <v>458</v>
      </c>
      <c r="B252" s="16"/>
      <c r="C252" s="97" t="s">
        <v>159</v>
      </c>
      <c r="D252" s="41">
        <f>D253</f>
        <v>100</v>
      </c>
      <c r="E252" s="41">
        <f>E253</f>
        <v>100</v>
      </c>
      <c r="F252" s="41">
        <f>F253</f>
        <v>100</v>
      </c>
    </row>
    <row r="253" spans="1:7" ht="38.25" x14ac:dyDescent="0.2">
      <c r="A253" s="135" t="s">
        <v>458</v>
      </c>
      <c r="B253" s="82" t="s">
        <v>211</v>
      </c>
      <c r="C253" s="98" t="s">
        <v>212</v>
      </c>
      <c r="D253" s="41">
        <v>100</v>
      </c>
      <c r="E253" s="41">
        <v>100</v>
      </c>
      <c r="F253" s="41">
        <v>100</v>
      </c>
    </row>
    <row r="254" spans="1:7" ht="76.5" x14ac:dyDescent="0.2">
      <c r="A254" s="135" t="s">
        <v>459</v>
      </c>
      <c r="B254" s="16"/>
      <c r="C254" s="97" t="s">
        <v>160</v>
      </c>
      <c r="D254" s="41">
        <f>D255</f>
        <v>173.5</v>
      </c>
      <c r="E254" s="41">
        <f>E255</f>
        <v>100</v>
      </c>
      <c r="F254" s="41">
        <f>F255</f>
        <v>100</v>
      </c>
    </row>
    <row r="255" spans="1:7" ht="38.25" x14ac:dyDescent="0.2">
      <c r="A255" s="135" t="s">
        <v>459</v>
      </c>
      <c r="B255" s="82" t="s">
        <v>211</v>
      </c>
      <c r="C255" s="98" t="s">
        <v>212</v>
      </c>
      <c r="D255" s="41">
        <v>173.5</v>
      </c>
      <c r="E255" s="41">
        <v>100</v>
      </c>
      <c r="F255" s="41">
        <v>100</v>
      </c>
    </row>
    <row r="256" spans="1:7" ht="38.25" x14ac:dyDescent="0.2">
      <c r="A256" s="74">
        <v>310223174</v>
      </c>
      <c r="B256" s="16"/>
      <c r="C256" s="97" t="s">
        <v>161</v>
      </c>
      <c r="D256" s="41">
        <f>SUM(D257:D258)</f>
        <v>13743.399999999998</v>
      </c>
      <c r="E256" s="41">
        <f t="shared" ref="E256:F256" si="62">SUM(E257:E258)</f>
        <v>7490</v>
      </c>
      <c r="F256" s="41">
        <f t="shared" si="62"/>
        <v>7466.2</v>
      </c>
    </row>
    <row r="257" spans="1:6" ht="38.25" x14ac:dyDescent="0.2">
      <c r="A257" s="74">
        <v>310223174</v>
      </c>
      <c r="B257" s="82" t="s">
        <v>211</v>
      </c>
      <c r="C257" s="98" t="s">
        <v>212</v>
      </c>
      <c r="D257" s="41">
        <f>9728.9+4.8+1000+2500-62.6+100-193.8+584.8</f>
        <v>13662.099999999999</v>
      </c>
      <c r="E257" s="41">
        <v>7490</v>
      </c>
      <c r="F257" s="41">
        <v>7466.2</v>
      </c>
    </row>
    <row r="258" spans="1:6" x14ac:dyDescent="0.2">
      <c r="A258" s="74">
        <v>310223174</v>
      </c>
      <c r="B258" s="82" t="s">
        <v>131</v>
      </c>
      <c r="C258" s="98" t="s">
        <v>132</v>
      </c>
      <c r="D258" s="41">
        <f>62.6+18.8-0.1</f>
        <v>81.300000000000011</v>
      </c>
      <c r="E258" s="41">
        <v>0</v>
      </c>
      <c r="F258" s="41">
        <v>0</v>
      </c>
    </row>
    <row r="259" spans="1:6" s="201" customFormat="1" ht="76.5" x14ac:dyDescent="0.2">
      <c r="A259" s="74">
        <v>310223176</v>
      </c>
      <c r="B259" s="82"/>
      <c r="C259" s="98" t="s">
        <v>805</v>
      </c>
      <c r="D259" s="41">
        <f>D260</f>
        <v>200</v>
      </c>
      <c r="E259" s="41">
        <f t="shared" ref="E259:F259" si="63">E260</f>
        <v>0</v>
      </c>
      <c r="F259" s="41">
        <f t="shared" si="63"/>
        <v>0</v>
      </c>
    </row>
    <row r="260" spans="1:6" s="201" customFormat="1" x14ac:dyDescent="0.2">
      <c r="A260" s="74">
        <v>310223176</v>
      </c>
      <c r="B260" s="82" t="s">
        <v>748</v>
      </c>
      <c r="C260" s="98" t="s">
        <v>749</v>
      </c>
      <c r="D260" s="41">
        <v>200</v>
      </c>
      <c r="E260" s="41">
        <v>0</v>
      </c>
      <c r="F260" s="41">
        <v>0</v>
      </c>
    </row>
    <row r="261" spans="1:6" ht="54" customHeight="1" x14ac:dyDescent="0.2">
      <c r="A261" s="21" t="s">
        <v>731</v>
      </c>
      <c r="B261" s="35"/>
      <c r="C261" s="97" t="s">
        <v>764</v>
      </c>
      <c r="D261" s="1">
        <f>D262</f>
        <v>6352.2</v>
      </c>
      <c r="E261" s="39">
        <f t="shared" ref="E261:F261" si="64">E262</f>
        <v>12016.9</v>
      </c>
      <c r="F261" s="39">
        <f t="shared" si="64"/>
        <v>0</v>
      </c>
    </row>
    <row r="262" spans="1:6" ht="38.25" x14ac:dyDescent="0.2">
      <c r="A262" s="21" t="s">
        <v>731</v>
      </c>
      <c r="B262" s="82" t="s">
        <v>211</v>
      </c>
      <c r="C262" s="98" t="s">
        <v>212</v>
      </c>
      <c r="D262" s="1">
        <f>6352.2</f>
        <v>6352.2</v>
      </c>
      <c r="E262" s="220">
        <v>12016.9</v>
      </c>
      <c r="F262" s="39">
        <v>0</v>
      </c>
    </row>
    <row r="263" spans="1:6" ht="38.25" x14ac:dyDescent="0.2">
      <c r="A263" s="21" t="s">
        <v>730</v>
      </c>
      <c r="B263" s="82"/>
      <c r="C263" s="54" t="s">
        <v>726</v>
      </c>
      <c r="D263" s="41">
        <f>D264</f>
        <v>24876.3</v>
      </c>
      <c r="E263" s="41">
        <f t="shared" ref="E263:F263" si="65">E264</f>
        <v>14031.8</v>
      </c>
      <c r="F263" s="41">
        <f t="shared" si="65"/>
        <v>0</v>
      </c>
    </row>
    <row r="264" spans="1:6" ht="38.25" x14ac:dyDescent="0.2">
      <c r="A264" s="21" t="s">
        <v>730</v>
      </c>
      <c r="B264" s="82" t="s">
        <v>211</v>
      </c>
      <c r="C264" s="98" t="s">
        <v>212</v>
      </c>
      <c r="D264" s="41">
        <f>25408.7-532.4</f>
        <v>24876.3</v>
      </c>
      <c r="E264" s="41">
        <v>14031.8</v>
      </c>
      <c r="F264" s="39">
        <v>0</v>
      </c>
    </row>
    <row r="265" spans="1:6" s="202" customFormat="1" ht="51" x14ac:dyDescent="0.2">
      <c r="A265" s="21" t="s">
        <v>806</v>
      </c>
      <c r="B265" s="35"/>
      <c r="C265" s="97" t="s">
        <v>807</v>
      </c>
      <c r="D265" s="41">
        <f>D266</f>
        <v>0</v>
      </c>
      <c r="E265" s="41">
        <f t="shared" ref="E265:F265" si="66">E266</f>
        <v>4626</v>
      </c>
      <c r="F265" s="41">
        <f t="shared" si="66"/>
        <v>0</v>
      </c>
    </row>
    <row r="266" spans="1:6" s="202" customFormat="1" ht="38.25" x14ac:dyDescent="0.2">
      <c r="A266" s="21" t="s">
        <v>806</v>
      </c>
      <c r="B266" s="82" t="s">
        <v>211</v>
      </c>
      <c r="C266" s="98" t="s">
        <v>212</v>
      </c>
      <c r="D266" s="41"/>
      <c r="E266" s="39">
        <v>4626</v>
      </c>
      <c r="F266" s="39"/>
    </row>
    <row r="267" spans="1:6" s="216" customFormat="1" ht="51" x14ac:dyDescent="0.2">
      <c r="A267" s="21" t="s">
        <v>826</v>
      </c>
      <c r="B267" s="82"/>
      <c r="C267" s="97" t="s">
        <v>807</v>
      </c>
      <c r="D267" s="41">
        <f>D268</f>
        <v>0</v>
      </c>
      <c r="E267" s="41">
        <f t="shared" ref="E267:F267" si="67">E268</f>
        <v>11203.6</v>
      </c>
      <c r="F267" s="41">
        <f t="shared" si="67"/>
        <v>0</v>
      </c>
    </row>
    <row r="268" spans="1:6" s="216" customFormat="1" ht="38.25" x14ac:dyDescent="0.2">
      <c r="A268" s="21" t="s">
        <v>826</v>
      </c>
      <c r="B268" s="82" t="s">
        <v>211</v>
      </c>
      <c r="C268" s="98" t="s">
        <v>212</v>
      </c>
      <c r="D268" s="41"/>
      <c r="E268" s="39">
        <v>11203.6</v>
      </c>
      <c r="F268" s="39"/>
    </row>
    <row r="269" spans="1:6" ht="25.5" x14ac:dyDescent="0.2">
      <c r="A269" s="57" t="s">
        <v>776</v>
      </c>
      <c r="B269" s="21"/>
      <c r="C269" s="98" t="s">
        <v>775</v>
      </c>
      <c r="D269" s="41">
        <f>D270</f>
        <v>10061.6</v>
      </c>
      <c r="E269" s="41">
        <f t="shared" ref="E269:F269" si="68">E270</f>
        <v>0</v>
      </c>
      <c r="F269" s="41">
        <f t="shared" si="68"/>
        <v>0</v>
      </c>
    </row>
    <row r="270" spans="1:6" ht="38.25" x14ac:dyDescent="0.2">
      <c r="A270" s="57" t="s">
        <v>776</v>
      </c>
      <c r="B270" s="82" t="s">
        <v>211</v>
      </c>
      <c r="C270" s="98" t="s">
        <v>212</v>
      </c>
      <c r="D270" s="41">
        <f>1920.7+1188.8+1675.8+5487.8-211.5</f>
        <v>10061.6</v>
      </c>
      <c r="E270" s="39">
        <v>0</v>
      </c>
      <c r="F270" s="39">
        <v>0</v>
      </c>
    </row>
    <row r="271" spans="1:6" ht="25.5" x14ac:dyDescent="0.2">
      <c r="A271" s="162" t="s">
        <v>732</v>
      </c>
      <c r="B271" s="21"/>
      <c r="C271" s="98" t="s">
        <v>725</v>
      </c>
      <c r="D271" s="94">
        <f>D272</f>
        <v>101333.4</v>
      </c>
      <c r="E271" s="94">
        <f t="shared" ref="E271:F271" si="69">E272</f>
        <v>0</v>
      </c>
      <c r="F271" s="94">
        <f t="shared" si="69"/>
        <v>0</v>
      </c>
    </row>
    <row r="272" spans="1:6" ht="38.25" x14ac:dyDescent="0.2">
      <c r="A272" s="162" t="s">
        <v>732</v>
      </c>
      <c r="B272" s="82" t="s">
        <v>211</v>
      </c>
      <c r="C272" s="98" t="s">
        <v>212</v>
      </c>
      <c r="D272" s="94">
        <v>101333.4</v>
      </c>
      <c r="E272" s="41">
        <v>0</v>
      </c>
      <c r="F272" s="41">
        <v>0</v>
      </c>
    </row>
    <row r="273" spans="1:6" ht="38.25" x14ac:dyDescent="0.2">
      <c r="A273" s="162" t="s">
        <v>733</v>
      </c>
      <c r="B273" s="21"/>
      <c r="C273" s="98" t="s">
        <v>706</v>
      </c>
      <c r="D273" s="94">
        <f>D274</f>
        <v>3172.5</v>
      </c>
      <c r="E273" s="94">
        <f t="shared" ref="E273:F273" si="70">E274</f>
        <v>0</v>
      </c>
      <c r="F273" s="94">
        <f t="shared" si="70"/>
        <v>0</v>
      </c>
    </row>
    <row r="274" spans="1:6" ht="38.25" x14ac:dyDescent="0.2">
      <c r="A274" s="162" t="s">
        <v>733</v>
      </c>
      <c r="B274" s="82" t="s">
        <v>211</v>
      </c>
      <c r="C274" s="98" t="s">
        <v>212</v>
      </c>
      <c r="D274" s="94">
        <v>3172.5</v>
      </c>
      <c r="E274" s="41">
        <v>0</v>
      </c>
      <c r="F274" s="41">
        <v>0</v>
      </c>
    </row>
    <row r="275" spans="1:6" ht="38.25" x14ac:dyDescent="0.2">
      <c r="A275" s="162" t="s">
        <v>734</v>
      </c>
      <c r="B275" s="82"/>
      <c r="C275" s="98" t="s">
        <v>727</v>
      </c>
      <c r="D275" s="41">
        <f>D276</f>
        <v>5401.9</v>
      </c>
      <c r="E275" s="94">
        <f t="shared" ref="E275:F275" si="71">E276</f>
        <v>0</v>
      </c>
      <c r="F275" s="94">
        <f t="shared" si="71"/>
        <v>0</v>
      </c>
    </row>
    <row r="276" spans="1:6" ht="38.25" x14ac:dyDescent="0.2">
      <c r="A276" s="162" t="s">
        <v>734</v>
      </c>
      <c r="B276" s="82" t="s">
        <v>211</v>
      </c>
      <c r="C276" s="98" t="s">
        <v>212</v>
      </c>
      <c r="D276" s="41">
        <f>352.5+5049.4</f>
        <v>5401.9</v>
      </c>
      <c r="E276" s="41">
        <v>0</v>
      </c>
      <c r="F276" s="41">
        <v>0</v>
      </c>
    </row>
    <row r="277" spans="1:6" ht="38.25" x14ac:dyDescent="0.2">
      <c r="A277" s="52" t="s">
        <v>163</v>
      </c>
      <c r="B277" s="16"/>
      <c r="C277" s="48" t="s">
        <v>162</v>
      </c>
      <c r="D277" s="93">
        <f>D278+D281</f>
        <v>3484.7</v>
      </c>
      <c r="E277" s="93">
        <f>E278+E281</f>
        <v>2336.1</v>
      </c>
      <c r="F277" s="93">
        <f>F278+F281</f>
        <v>2336.1</v>
      </c>
    </row>
    <row r="278" spans="1:6" ht="63.75" x14ac:dyDescent="0.2">
      <c r="A278" s="21" t="s">
        <v>246</v>
      </c>
      <c r="B278" s="16"/>
      <c r="C278" s="99" t="s">
        <v>309</v>
      </c>
      <c r="D278" s="41">
        <f t="shared" ref="D278:F279" si="72">D279</f>
        <v>150</v>
      </c>
      <c r="E278" s="41">
        <f t="shared" si="72"/>
        <v>140.19999999999999</v>
      </c>
      <c r="F278" s="41">
        <f t="shared" si="72"/>
        <v>140.19999999999999</v>
      </c>
    </row>
    <row r="279" spans="1:6" ht="51" x14ac:dyDescent="0.2">
      <c r="A279" s="21" t="s">
        <v>460</v>
      </c>
      <c r="B279" s="30"/>
      <c r="C279" s="97" t="s">
        <v>164</v>
      </c>
      <c r="D279" s="41">
        <f t="shared" si="72"/>
        <v>150</v>
      </c>
      <c r="E279" s="41">
        <f t="shared" si="72"/>
        <v>140.19999999999999</v>
      </c>
      <c r="F279" s="41">
        <f t="shared" si="72"/>
        <v>140.19999999999999</v>
      </c>
    </row>
    <row r="280" spans="1:6" ht="38.25" x14ac:dyDescent="0.2">
      <c r="A280" s="21" t="s">
        <v>460</v>
      </c>
      <c r="B280" s="82" t="s">
        <v>211</v>
      </c>
      <c r="C280" s="98" t="s">
        <v>212</v>
      </c>
      <c r="D280" s="39">
        <v>150</v>
      </c>
      <c r="E280" s="39">
        <v>140.19999999999999</v>
      </c>
      <c r="F280" s="39">
        <v>140.19999999999999</v>
      </c>
    </row>
    <row r="281" spans="1:6" ht="25.5" x14ac:dyDescent="0.2">
      <c r="A281" s="21" t="s">
        <v>340</v>
      </c>
      <c r="B281" s="82"/>
      <c r="C281" s="99" t="s">
        <v>336</v>
      </c>
      <c r="D281" s="41">
        <f>D282+D284+D286</f>
        <v>3334.7</v>
      </c>
      <c r="E281" s="41">
        <f t="shared" ref="E281:F281" si="73">E282+E284+E286</f>
        <v>2195.9</v>
      </c>
      <c r="F281" s="41">
        <f t="shared" si="73"/>
        <v>2195.9</v>
      </c>
    </row>
    <row r="282" spans="1:6" ht="38.25" x14ac:dyDescent="0.2">
      <c r="A282" s="82" t="s">
        <v>461</v>
      </c>
      <c r="B282" s="30"/>
      <c r="C282" s="97" t="s">
        <v>167</v>
      </c>
      <c r="D282" s="41">
        <f>D283</f>
        <v>36</v>
      </c>
      <c r="E282" s="41">
        <f t="shared" ref="E282:F282" si="74">E283</f>
        <v>36</v>
      </c>
      <c r="F282" s="41">
        <f t="shared" si="74"/>
        <v>36</v>
      </c>
    </row>
    <row r="283" spans="1:6" ht="38.25" x14ac:dyDescent="0.2">
      <c r="A283" s="82" t="s">
        <v>461</v>
      </c>
      <c r="B283" s="82" t="s">
        <v>211</v>
      </c>
      <c r="C283" s="98" t="s">
        <v>212</v>
      </c>
      <c r="D283" s="41">
        <v>36</v>
      </c>
      <c r="E283" s="41">
        <v>36</v>
      </c>
      <c r="F283" s="41">
        <v>36</v>
      </c>
    </row>
    <row r="284" spans="1:6" ht="27" customHeight="1" x14ac:dyDescent="0.2">
      <c r="A284" s="21" t="s">
        <v>619</v>
      </c>
      <c r="B284" s="16"/>
      <c r="C284" s="99" t="s">
        <v>644</v>
      </c>
      <c r="D284" s="39">
        <f>D285</f>
        <v>2400</v>
      </c>
      <c r="E284" s="39">
        <f t="shared" ref="E284:F284" si="75">E285</f>
        <v>2159.9</v>
      </c>
      <c r="F284" s="39">
        <f t="shared" si="75"/>
        <v>2159.9</v>
      </c>
    </row>
    <row r="285" spans="1:6" ht="38.25" x14ac:dyDescent="0.2">
      <c r="A285" s="21" t="s">
        <v>619</v>
      </c>
      <c r="B285" s="82" t="s">
        <v>211</v>
      </c>
      <c r="C285" s="98" t="s">
        <v>212</v>
      </c>
      <c r="D285" s="39">
        <f>1500+890.1+9.9</f>
        <v>2400</v>
      </c>
      <c r="E285" s="39">
        <v>2159.9</v>
      </c>
      <c r="F285" s="39">
        <v>2159.9</v>
      </c>
    </row>
    <row r="286" spans="1:6" ht="78" customHeight="1" x14ac:dyDescent="0.2">
      <c r="A286" s="21" t="s">
        <v>758</v>
      </c>
      <c r="B286" s="82"/>
      <c r="C286" s="98" t="s">
        <v>759</v>
      </c>
      <c r="D286" s="39">
        <f>SUM(D287:D288)</f>
        <v>898.7</v>
      </c>
      <c r="E286" s="39">
        <f t="shared" ref="E286:F286" si="76">E287</f>
        <v>0</v>
      </c>
      <c r="F286" s="39">
        <f t="shared" si="76"/>
        <v>0</v>
      </c>
    </row>
    <row r="287" spans="1:6" ht="38.25" x14ac:dyDescent="0.2">
      <c r="A287" s="21" t="s">
        <v>758</v>
      </c>
      <c r="B287" s="82" t="s">
        <v>211</v>
      </c>
      <c r="C287" s="98" t="s">
        <v>212</v>
      </c>
      <c r="D287" s="39">
        <v>738.2</v>
      </c>
      <c r="E287" s="39">
        <v>0</v>
      </c>
      <c r="F287" s="39">
        <v>0</v>
      </c>
    </row>
    <row r="288" spans="1:6" x14ac:dyDescent="0.2">
      <c r="A288" s="21" t="s">
        <v>758</v>
      </c>
      <c r="B288" s="82" t="s">
        <v>748</v>
      </c>
      <c r="C288" s="98" t="s">
        <v>749</v>
      </c>
      <c r="D288" s="39">
        <v>160.5</v>
      </c>
      <c r="E288" s="39">
        <v>0</v>
      </c>
      <c r="F288" s="39">
        <v>0</v>
      </c>
    </row>
    <row r="289" spans="1:9" ht="75.75" customHeight="1" x14ac:dyDescent="0.2">
      <c r="A289" s="76">
        <v>400000000</v>
      </c>
      <c r="B289" s="30"/>
      <c r="C289" s="141" t="s">
        <v>575</v>
      </c>
      <c r="D289" s="96">
        <f>D290+D312+D327</f>
        <v>21679.9</v>
      </c>
      <c r="E289" s="96">
        <f>E290+E312+E327</f>
        <v>10836.9</v>
      </c>
      <c r="F289" s="96">
        <f>F290+F312+F327</f>
        <v>9870.7000000000007</v>
      </c>
    </row>
    <row r="290" spans="1:9" ht="51" x14ac:dyDescent="0.2">
      <c r="A290" s="75">
        <v>410000000</v>
      </c>
      <c r="B290" s="30"/>
      <c r="C290" s="46" t="s">
        <v>462</v>
      </c>
      <c r="D290" s="93">
        <f>D291+D294+D301</f>
        <v>2221.3000000000002</v>
      </c>
      <c r="E290" s="93">
        <f>E291+E294+E301</f>
        <v>993</v>
      </c>
      <c r="F290" s="93">
        <f>F291+F294+F301</f>
        <v>993</v>
      </c>
    </row>
    <row r="291" spans="1:9" ht="38.25" x14ac:dyDescent="0.2">
      <c r="A291" s="74">
        <v>410100000</v>
      </c>
      <c r="B291" s="30"/>
      <c r="C291" s="97" t="s">
        <v>463</v>
      </c>
      <c r="D291" s="93">
        <f t="shared" ref="D291:F292" si="77">D292</f>
        <v>955.3</v>
      </c>
      <c r="E291" s="93">
        <f t="shared" si="77"/>
        <v>63</v>
      </c>
      <c r="F291" s="93">
        <f t="shared" si="77"/>
        <v>63</v>
      </c>
    </row>
    <row r="292" spans="1:9" ht="25.5" x14ac:dyDescent="0.2">
      <c r="A292" s="135" t="s">
        <v>629</v>
      </c>
      <c r="B292" s="16"/>
      <c r="C292" s="99" t="s">
        <v>169</v>
      </c>
      <c r="D292" s="39">
        <f t="shared" si="77"/>
        <v>955.3</v>
      </c>
      <c r="E292" s="39">
        <f t="shared" si="77"/>
        <v>63</v>
      </c>
      <c r="F292" s="39">
        <f t="shared" si="77"/>
        <v>63</v>
      </c>
    </row>
    <row r="293" spans="1:9" ht="38.25" x14ac:dyDescent="0.2">
      <c r="A293" s="135" t="s">
        <v>629</v>
      </c>
      <c r="B293" s="82" t="s">
        <v>211</v>
      </c>
      <c r="C293" s="98" t="s">
        <v>212</v>
      </c>
      <c r="D293" s="39">
        <f>1160.5-205.2</f>
        <v>955.3</v>
      </c>
      <c r="E293" s="39">
        <v>63</v>
      </c>
      <c r="F293" s="39">
        <v>63</v>
      </c>
    </row>
    <row r="294" spans="1:9" ht="51" x14ac:dyDescent="0.2">
      <c r="A294" s="74">
        <v>410200000</v>
      </c>
      <c r="B294" s="30"/>
      <c r="C294" s="97" t="s">
        <v>467</v>
      </c>
      <c r="D294" s="39">
        <f>D295+D297+D299</f>
        <v>130</v>
      </c>
      <c r="E294" s="39">
        <f t="shared" ref="E294:F294" si="78">E295+E297+E299</f>
        <v>130</v>
      </c>
      <c r="F294" s="39">
        <f t="shared" si="78"/>
        <v>130</v>
      </c>
    </row>
    <row r="295" spans="1:9" ht="68.25" customHeight="1" x14ac:dyDescent="0.2">
      <c r="A295" s="135" t="s">
        <v>624</v>
      </c>
      <c r="B295" s="82"/>
      <c r="C295" s="98" t="s">
        <v>592</v>
      </c>
      <c r="D295" s="39">
        <f t="shared" ref="D295:F295" si="79">D296</f>
        <v>50</v>
      </c>
      <c r="E295" s="39">
        <f t="shared" si="79"/>
        <v>50</v>
      </c>
      <c r="F295" s="39">
        <f t="shared" si="79"/>
        <v>50</v>
      </c>
    </row>
    <row r="296" spans="1:9" ht="38.25" x14ac:dyDescent="0.2">
      <c r="A296" s="135" t="s">
        <v>624</v>
      </c>
      <c r="B296" s="82" t="s">
        <v>211</v>
      </c>
      <c r="C296" s="98" t="s">
        <v>212</v>
      </c>
      <c r="D296" s="39">
        <v>50</v>
      </c>
      <c r="E296" s="39">
        <v>50</v>
      </c>
      <c r="F296" s="39">
        <v>50</v>
      </c>
      <c r="I296" s="103"/>
    </row>
    <row r="297" spans="1:9" ht="27" customHeight="1" x14ac:dyDescent="0.2">
      <c r="A297" s="135" t="s">
        <v>623</v>
      </c>
      <c r="B297" s="82"/>
      <c r="C297" s="98" t="s">
        <v>465</v>
      </c>
      <c r="D297" s="39">
        <f>D298</f>
        <v>30</v>
      </c>
      <c r="E297" s="39">
        <f>E298</f>
        <v>30</v>
      </c>
      <c r="F297" s="39">
        <f>F298</f>
        <v>30</v>
      </c>
    </row>
    <row r="298" spans="1:9" ht="38.25" x14ac:dyDescent="0.2">
      <c r="A298" s="135" t="s">
        <v>623</v>
      </c>
      <c r="B298" s="82" t="s">
        <v>211</v>
      </c>
      <c r="C298" s="98" t="s">
        <v>212</v>
      </c>
      <c r="D298" s="39">
        <v>30</v>
      </c>
      <c r="E298" s="39">
        <v>30</v>
      </c>
      <c r="F298" s="39">
        <v>30</v>
      </c>
    </row>
    <row r="299" spans="1:9" ht="38.25" x14ac:dyDescent="0.2">
      <c r="A299" s="135" t="s">
        <v>622</v>
      </c>
      <c r="B299" s="82"/>
      <c r="C299" s="98" t="s">
        <v>593</v>
      </c>
      <c r="D299" s="39">
        <f>D300</f>
        <v>50</v>
      </c>
      <c r="E299" s="39">
        <f t="shared" ref="E299:F299" si="80">E300</f>
        <v>50</v>
      </c>
      <c r="F299" s="39">
        <f t="shared" si="80"/>
        <v>50</v>
      </c>
    </row>
    <row r="300" spans="1:9" ht="38.25" x14ac:dyDescent="0.2">
      <c r="A300" s="135" t="s">
        <v>622</v>
      </c>
      <c r="B300" s="82" t="s">
        <v>211</v>
      </c>
      <c r="C300" s="98" t="s">
        <v>212</v>
      </c>
      <c r="D300" s="39">
        <v>50</v>
      </c>
      <c r="E300" s="39">
        <v>50</v>
      </c>
      <c r="F300" s="39">
        <v>50</v>
      </c>
    </row>
    <row r="301" spans="1:9" ht="38.25" x14ac:dyDescent="0.2">
      <c r="A301" s="135" t="s">
        <v>469</v>
      </c>
      <c r="B301" s="82"/>
      <c r="C301" s="97" t="s">
        <v>468</v>
      </c>
      <c r="D301" s="39">
        <f>D302+D304+D306+D308+D310</f>
        <v>1136</v>
      </c>
      <c r="E301" s="39">
        <f t="shared" ref="E301:F301" si="81">E302+E304+E306+E308+E310</f>
        <v>800</v>
      </c>
      <c r="F301" s="39">
        <f t="shared" si="81"/>
        <v>800</v>
      </c>
    </row>
    <row r="302" spans="1:9" ht="52.5" customHeight="1" x14ac:dyDescent="0.2">
      <c r="A302" s="135" t="s">
        <v>625</v>
      </c>
      <c r="B302" s="82"/>
      <c r="C302" s="98" t="s">
        <v>594</v>
      </c>
      <c r="D302" s="39">
        <f>D303</f>
        <v>200</v>
      </c>
      <c r="E302" s="39">
        <f t="shared" ref="E302:F302" si="82">E303</f>
        <v>200</v>
      </c>
      <c r="F302" s="39">
        <f t="shared" si="82"/>
        <v>200</v>
      </c>
    </row>
    <row r="303" spans="1:9" ht="63.75" x14ac:dyDescent="0.2">
      <c r="A303" s="135" t="s">
        <v>625</v>
      </c>
      <c r="B303" s="16" t="s">
        <v>12</v>
      </c>
      <c r="C303" s="98" t="s">
        <v>365</v>
      </c>
      <c r="D303" s="39">
        <v>200</v>
      </c>
      <c r="E303" s="39">
        <v>200</v>
      </c>
      <c r="F303" s="39">
        <v>200</v>
      </c>
    </row>
    <row r="304" spans="1:9" ht="61.5" customHeight="1" x14ac:dyDescent="0.2">
      <c r="A304" s="135" t="s">
        <v>626</v>
      </c>
      <c r="B304" s="82"/>
      <c r="C304" s="98" t="s">
        <v>470</v>
      </c>
      <c r="D304" s="39">
        <f>D305</f>
        <v>0</v>
      </c>
      <c r="E304" s="39">
        <f t="shared" ref="E304:F304" si="83">E305</f>
        <v>500</v>
      </c>
      <c r="F304" s="39">
        <f t="shared" si="83"/>
        <v>500</v>
      </c>
    </row>
    <row r="305" spans="1:6" ht="63.75" x14ac:dyDescent="0.2">
      <c r="A305" s="135" t="s">
        <v>626</v>
      </c>
      <c r="B305" s="16" t="s">
        <v>12</v>
      </c>
      <c r="C305" s="98" t="s">
        <v>365</v>
      </c>
      <c r="D305" s="39">
        <f>500-500</f>
        <v>0</v>
      </c>
      <c r="E305" s="39">
        <v>500</v>
      </c>
      <c r="F305" s="39">
        <v>500</v>
      </c>
    </row>
    <row r="306" spans="1:6" ht="88.5" customHeight="1" x14ac:dyDescent="0.2">
      <c r="A306" s="135" t="s">
        <v>627</v>
      </c>
      <c r="B306" s="82"/>
      <c r="C306" s="98" t="s">
        <v>471</v>
      </c>
      <c r="D306" s="39">
        <f>D307</f>
        <v>80</v>
      </c>
      <c r="E306" s="39">
        <f t="shared" ref="E306:F306" si="84">E307</f>
        <v>100</v>
      </c>
      <c r="F306" s="39">
        <f t="shared" si="84"/>
        <v>100</v>
      </c>
    </row>
    <row r="307" spans="1:6" ht="63.75" x14ac:dyDescent="0.2">
      <c r="A307" s="135" t="s">
        <v>627</v>
      </c>
      <c r="B307" s="16" t="s">
        <v>12</v>
      </c>
      <c r="C307" s="98" t="s">
        <v>365</v>
      </c>
      <c r="D307" s="39">
        <v>80</v>
      </c>
      <c r="E307" s="39">
        <v>100</v>
      </c>
      <c r="F307" s="39">
        <v>100</v>
      </c>
    </row>
    <row r="308" spans="1:6" ht="80.25" customHeight="1" x14ac:dyDescent="0.2">
      <c r="A308" s="135" t="s">
        <v>628</v>
      </c>
      <c r="B308" s="16"/>
      <c r="C308" s="98" t="s">
        <v>595</v>
      </c>
      <c r="D308" s="39">
        <f>D309</f>
        <v>356</v>
      </c>
      <c r="E308" s="39">
        <f t="shared" ref="E308:F308" si="85">E309</f>
        <v>0</v>
      </c>
      <c r="F308" s="39">
        <f t="shared" si="85"/>
        <v>0</v>
      </c>
    </row>
    <row r="309" spans="1:6" ht="63.75" x14ac:dyDescent="0.2">
      <c r="A309" s="135" t="s">
        <v>628</v>
      </c>
      <c r="B309" s="16" t="s">
        <v>12</v>
      </c>
      <c r="C309" s="98" t="s">
        <v>365</v>
      </c>
      <c r="D309" s="39">
        <v>356</v>
      </c>
      <c r="E309" s="39">
        <v>0</v>
      </c>
      <c r="F309" s="39">
        <v>0</v>
      </c>
    </row>
    <row r="310" spans="1:6" ht="89.25" x14ac:dyDescent="0.2">
      <c r="A310" s="135" t="s">
        <v>666</v>
      </c>
      <c r="B310" s="16"/>
      <c r="C310" s="98" t="s">
        <v>667</v>
      </c>
      <c r="D310" s="39">
        <f>D311</f>
        <v>500</v>
      </c>
      <c r="E310" s="39">
        <f t="shared" ref="E310:F310" si="86">E311</f>
        <v>0</v>
      </c>
      <c r="F310" s="39">
        <f t="shared" si="86"/>
        <v>0</v>
      </c>
    </row>
    <row r="311" spans="1:6" ht="63.75" x14ac:dyDescent="0.2">
      <c r="A311" s="135" t="s">
        <v>666</v>
      </c>
      <c r="B311" s="16" t="s">
        <v>12</v>
      </c>
      <c r="C311" s="98" t="s">
        <v>365</v>
      </c>
      <c r="D311" s="39">
        <f>1000-500</f>
        <v>500</v>
      </c>
      <c r="E311" s="39">
        <v>0</v>
      </c>
      <c r="F311" s="39">
        <v>0</v>
      </c>
    </row>
    <row r="312" spans="1:6" ht="51" x14ac:dyDescent="0.2">
      <c r="A312" s="75">
        <v>420000000</v>
      </c>
      <c r="B312" s="30"/>
      <c r="C312" s="46" t="s">
        <v>232</v>
      </c>
      <c r="D312" s="93">
        <f>D313+D322</f>
        <v>4480.7</v>
      </c>
      <c r="E312" s="93">
        <f t="shared" ref="E312:F312" si="87">E313+E322</f>
        <v>3538</v>
      </c>
      <c r="F312" s="93">
        <f t="shared" si="87"/>
        <v>3538</v>
      </c>
    </row>
    <row r="313" spans="1:6" ht="102" x14ac:dyDescent="0.2">
      <c r="A313" s="74">
        <v>420100000</v>
      </c>
      <c r="B313" s="16"/>
      <c r="C313" s="97" t="s">
        <v>472</v>
      </c>
      <c r="D313" s="41">
        <f>D314+D316+D318+D320</f>
        <v>3245.9</v>
      </c>
      <c r="E313" s="41">
        <f t="shared" ref="E313:F313" si="88">E314+E316+E318+E320</f>
        <v>2525.9</v>
      </c>
      <c r="F313" s="41">
        <f t="shared" si="88"/>
        <v>2525.9</v>
      </c>
    </row>
    <row r="314" spans="1:6" ht="38.25" x14ac:dyDescent="0.2">
      <c r="A314" s="74" t="s">
        <v>473</v>
      </c>
      <c r="B314" s="16"/>
      <c r="C314" s="98" t="s">
        <v>352</v>
      </c>
      <c r="D314" s="41">
        <f>D315</f>
        <v>600</v>
      </c>
      <c r="E314" s="41">
        <f t="shared" ref="E314:F314" si="89">E315</f>
        <v>300</v>
      </c>
      <c r="F314" s="41">
        <f t="shared" si="89"/>
        <v>300</v>
      </c>
    </row>
    <row r="315" spans="1:6" ht="63.75" x14ac:dyDescent="0.2">
      <c r="A315" s="74" t="s">
        <v>473</v>
      </c>
      <c r="B315" s="16" t="s">
        <v>19</v>
      </c>
      <c r="C315" s="99" t="s">
        <v>360</v>
      </c>
      <c r="D315" s="41">
        <v>600</v>
      </c>
      <c r="E315" s="41">
        <v>300</v>
      </c>
      <c r="F315" s="41">
        <v>300</v>
      </c>
    </row>
    <row r="316" spans="1:6" ht="63.75" customHeight="1" x14ac:dyDescent="0.2">
      <c r="A316" s="74">
        <v>420123230</v>
      </c>
      <c r="B316" s="16"/>
      <c r="C316" s="99" t="s">
        <v>661</v>
      </c>
      <c r="D316" s="41">
        <f>D317</f>
        <v>1620</v>
      </c>
      <c r="E316" s="41">
        <f t="shared" ref="E316:F316" si="90">E317</f>
        <v>1300</v>
      </c>
      <c r="F316" s="41">
        <f t="shared" si="90"/>
        <v>1300</v>
      </c>
    </row>
    <row r="317" spans="1:6" ht="38.25" x14ac:dyDescent="0.2">
      <c r="A317" s="74">
        <v>420123230</v>
      </c>
      <c r="B317" s="82" t="s">
        <v>211</v>
      </c>
      <c r="C317" s="98" t="s">
        <v>212</v>
      </c>
      <c r="D317" s="41">
        <f>1200+420</f>
        <v>1620</v>
      </c>
      <c r="E317" s="41">
        <v>1300</v>
      </c>
      <c r="F317" s="41">
        <v>1300</v>
      </c>
    </row>
    <row r="318" spans="1:6" ht="38.25" x14ac:dyDescent="0.2">
      <c r="A318" s="74">
        <v>420110320</v>
      </c>
      <c r="B318" s="1"/>
      <c r="C318" s="134" t="s">
        <v>474</v>
      </c>
      <c r="D318" s="41">
        <f>D319</f>
        <v>925.9</v>
      </c>
      <c r="E318" s="41">
        <f t="shared" ref="E318:F318" si="91">E319</f>
        <v>925.9</v>
      </c>
      <c r="F318" s="41">
        <f t="shared" si="91"/>
        <v>925.9</v>
      </c>
    </row>
    <row r="319" spans="1:6" ht="63.75" x14ac:dyDescent="0.2">
      <c r="A319" s="74">
        <v>420110320</v>
      </c>
      <c r="B319" s="16" t="s">
        <v>19</v>
      </c>
      <c r="C319" s="99" t="s">
        <v>360</v>
      </c>
      <c r="D319" s="41">
        <f>926.8-0.9</f>
        <v>925.9</v>
      </c>
      <c r="E319" s="41">
        <f t="shared" ref="E319:F319" si="92">926.8-0.9</f>
        <v>925.9</v>
      </c>
      <c r="F319" s="41">
        <f t="shared" si="92"/>
        <v>925.9</v>
      </c>
    </row>
    <row r="320" spans="1:6" ht="37.5" customHeight="1" x14ac:dyDescent="0.2">
      <c r="A320" s="74" t="s">
        <v>475</v>
      </c>
      <c r="B320" s="16"/>
      <c r="C320" s="99" t="s">
        <v>476</v>
      </c>
      <c r="D320" s="41">
        <f>D321</f>
        <v>100</v>
      </c>
      <c r="E320" s="41">
        <f t="shared" ref="E320:F320" si="93">E321</f>
        <v>0</v>
      </c>
      <c r="F320" s="41">
        <f t="shared" si="93"/>
        <v>0</v>
      </c>
    </row>
    <row r="321" spans="1:6" ht="63.75" x14ac:dyDescent="0.2">
      <c r="A321" s="74" t="s">
        <v>475</v>
      </c>
      <c r="B321" s="16" t="s">
        <v>19</v>
      </c>
      <c r="C321" s="99" t="s">
        <v>360</v>
      </c>
      <c r="D321" s="41">
        <v>100</v>
      </c>
      <c r="E321" s="41">
        <v>0</v>
      </c>
      <c r="F321" s="41">
        <v>0</v>
      </c>
    </row>
    <row r="322" spans="1:6" ht="102" customHeight="1" x14ac:dyDescent="0.2">
      <c r="A322" s="74">
        <v>420200000</v>
      </c>
      <c r="B322" s="16"/>
      <c r="C322" s="97" t="s">
        <v>660</v>
      </c>
      <c r="D322" s="41">
        <f>D323+D325</f>
        <v>1234.8</v>
      </c>
      <c r="E322" s="41">
        <f t="shared" ref="E322:F322" si="94">E323+E325</f>
        <v>1012.0999999999999</v>
      </c>
      <c r="F322" s="41">
        <f t="shared" si="94"/>
        <v>1012.0999999999999</v>
      </c>
    </row>
    <row r="323" spans="1:6" ht="63.75" x14ac:dyDescent="0.2">
      <c r="A323" s="74">
        <v>420223235</v>
      </c>
      <c r="B323" s="30"/>
      <c r="C323" s="98" t="s">
        <v>659</v>
      </c>
      <c r="D323" s="41">
        <f>D324</f>
        <v>686.3</v>
      </c>
      <c r="E323" s="41">
        <f>E324</f>
        <v>575.29999999999995</v>
      </c>
      <c r="F323" s="41">
        <f>F324</f>
        <v>575.29999999999995</v>
      </c>
    </row>
    <row r="324" spans="1:6" ht="38.25" x14ac:dyDescent="0.2">
      <c r="A324" s="74">
        <v>420223235</v>
      </c>
      <c r="B324" s="82" t="s">
        <v>211</v>
      </c>
      <c r="C324" s="98" t="s">
        <v>212</v>
      </c>
      <c r="D324" s="41">
        <f>575.3+111</f>
        <v>686.3</v>
      </c>
      <c r="E324" s="41">
        <v>575.29999999999995</v>
      </c>
      <c r="F324" s="41">
        <v>575.29999999999995</v>
      </c>
    </row>
    <row r="325" spans="1:6" ht="51" x14ac:dyDescent="0.2">
      <c r="A325" s="74">
        <v>420223240</v>
      </c>
      <c r="B325" s="82"/>
      <c r="C325" s="98" t="s">
        <v>658</v>
      </c>
      <c r="D325" s="41">
        <f>D326</f>
        <v>548.5</v>
      </c>
      <c r="E325" s="41">
        <f t="shared" ref="E325:F325" si="95">E326</f>
        <v>436.8</v>
      </c>
      <c r="F325" s="41">
        <f t="shared" si="95"/>
        <v>436.8</v>
      </c>
    </row>
    <row r="326" spans="1:6" ht="38.25" x14ac:dyDescent="0.2">
      <c r="A326" s="74">
        <v>420223240</v>
      </c>
      <c r="B326" s="82" t="s">
        <v>211</v>
      </c>
      <c r="C326" s="98" t="s">
        <v>212</v>
      </c>
      <c r="D326" s="41">
        <f>436.8+111.7</f>
        <v>548.5</v>
      </c>
      <c r="E326" s="41">
        <v>436.8</v>
      </c>
      <c r="F326" s="41">
        <v>436.8</v>
      </c>
    </row>
    <row r="327" spans="1:6" ht="77.25" customHeight="1" x14ac:dyDescent="0.2">
      <c r="A327" s="75">
        <v>430000000</v>
      </c>
      <c r="B327" s="16"/>
      <c r="C327" s="46" t="s">
        <v>642</v>
      </c>
      <c r="D327" s="39">
        <f>D328+D333</f>
        <v>14977.9</v>
      </c>
      <c r="E327" s="39">
        <f>E328+E333</f>
        <v>6305.9</v>
      </c>
      <c r="F327" s="39">
        <f>F328+F333</f>
        <v>5339.7000000000007</v>
      </c>
    </row>
    <row r="328" spans="1:6" ht="51" x14ac:dyDescent="0.2">
      <c r="A328" s="74">
        <v>430100000</v>
      </c>
      <c r="B328" s="30"/>
      <c r="C328" s="97" t="s">
        <v>233</v>
      </c>
      <c r="D328" s="39">
        <f>D329+D331</f>
        <v>1380.9</v>
      </c>
      <c r="E328" s="39">
        <f t="shared" ref="E328:F328" si="96">E329+E331</f>
        <v>1180.9000000000001</v>
      </c>
      <c r="F328" s="39">
        <f t="shared" si="96"/>
        <v>1180.9000000000001</v>
      </c>
    </row>
    <row r="329" spans="1:6" ht="102" x14ac:dyDescent="0.2">
      <c r="A329" s="79">
        <v>430127310</v>
      </c>
      <c r="B329" s="16"/>
      <c r="C329" s="98" t="s">
        <v>591</v>
      </c>
      <c r="D329" s="41">
        <f>D330</f>
        <v>1200</v>
      </c>
      <c r="E329" s="41">
        <f>E330</f>
        <v>1000</v>
      </c>
      <c r="F329" s="41">
        <f>F330</f>
        <v>1000</v>
      </c>
    </row>
    <row r="330" spans="1:6" ht="63.75" x14ac:dyDescent="0.2">
      <c r="A330" s="79">
        <v>430127310</v>
      </c>
      <c r="B330" s="16" t="s">
        <v>12</v>
      </c>
      <c r="C330" s="98" t="s">
        <v>318</v>
      </c>
      <c r="D330" s="41">
        <v>1200</v>
      </c>
      <c r="E330" s="41">
        <v>1000</v>
      </c>
      <c r="F330" s="41">
        <v>1000</v>
      </c>
    </row>
    <row r="331" spans="1:6" ht="102" customHeight="1" x14ac:dyDescent="0.2">
      <c r="A331" s="79">
        <v>430127320</v>
      </c>
      <c r="B331" s="16"/>
      <c r="C331" s="98" t="s">
        <v>479</v>
      </c>
      <c r="D331" s="41">
        <f>D332</f>
        <v>180.9</v>
      </c>
      <c r="E331" s="41">
        <f t="shared" ref="E331:F331" si="97">E332</f>
        <v>180.9</v>
      </c>
      <c r="F331" s="41">
        <f t="shared" si="97"/>
        <v>180.9</v>
      </c>
    </row>
    <row r="332" spans="1:6" ht="63.75" x14ac:dyDescent="0.2">
      <c r="A332" s="79">
        <v>430127320</v>
      </c>
      <c r="B332" s="16" t="s">
        <v>12</v>
      </c>
      <c r="C332" s="98" t="s">
        <v>318</v>
      </c>
      <c r="D332" s="41">
        <v>180.9</v>
      </c>
      <c r="E332" s="41">
        <v>180.9</v>
      </c>
      <c r="F332" s="41">
        <v>180.9</v>
      </c>
    </row>
    <row r="333" spans="1:6" ht="38.25" x14ac:dyDescent="0.2">
      <c r="A333" s="74">
        <v>430200000</v>
      </c>
      <c r="B333" s="82"/>
      <c r="C333" s="97" t="s">
        <v>293</v>
      </c>
      <c r="D333" s="41">
        <f>D334+D336+D338+D340+D342+D344</f>
        <v>13597</v>
      </c>
      <c r="E333" s="41">
        <f t="shared" ref="E333:F333" si="98">E334+E336+E338+E340+E342+E344</f>
        <v>5125</v>
      </c>
      <c r="F333" s="41">
        <f t="shared" si="98"/>
        <v>4158.8</v>
      </c>
    </row>
    <row r="334" spans="1:6" ht="102" x14ac:dyDescent="0.2">
      <c r="A334" s="74">
        <v>430227340</v>
      </c>
      <c r="B334" s="16"/>
      <c r="C334" s="98" t="s">
        <v>605</v>
      </c>
      <c r="D334" s="39">
        <f>D335</f>
        <v>779.2</v>
      </c>
      <c r="E334" s="39">
        <f t="shared" ref="E334:F334" si="99">E335</f>
        <v>1364</v>
      </c>
      <c r="F334" s="39">
        <f t="shared" si="99"/>
        <v>1364</v>
      </c>
    </row>
    <row r="335" spans="1:6" ht="63.75" x14ac:dyDescent="0.2">
      <c r="A335" s="74">
        <v>430227340</v>
      </c>
      <c r="B335" s="16" t="s">
        <v>12</v>
      </c>
      <c r="C335" s="98" t="s">
        <v>318</v>
      </c>
      <c r="D335" s="39">
        <f>1364-584.8</f>
        <v>779.2</v>
      </c>
      <c r="E335" s="39">
        <v>1364</v>
      </c>
      <c r="F335" s="39">
        <v>1364</v>
      </c>
    </row>
    <row r="336" spans="1:6" ht="114.75" x14ac:dyDescent="0.2">
      <c r="A336" s="74">
        <v>430227350</v>
      </c>
      <c r="B336" s="16"/>
      <c r="C336" s="98" t="s">
        <v>596</v>
      </c>
      <c r="D336" s="39">
        <f>D337</f>
        <v>25.5</v>
      </c>
      <c r="E336" s="39">
        <f t="shared" ref="E336:F336" si="100">E337</f>
        <v>25.5</v>
      </c>
      <c r="F336" s="39">
        <f t="shared" si="100"/>
        <v>25.5</v>
      </c>
    </row>
    <row r="337" spans="1:6" ht="63.75" x14ac:dyDescent="0.2">
      <c r="A337" s="74">
        <v>430227350</v>
      </c>
      <c r="B337" s="16" t="s">
        <v>12</v>
      </c>
      <c r="C337" s="98" t="s">
        <v>318</v>
      </c>
      <c r="D337" s="39">
        <v>25.5</v>
      </c>
      <c r="E337" s="39">
        <v>25.5</v>
      </c>
      <c r="F337" s="39">
        <v>25.5</v>
      </c>
    </row>
    <row r="338" spans="1:6" ht="114.75" x14ac:dyDescent="0.2">
      <c r="A338" s="74">
        <v>430227360</v>
      </c>
      <c r="B338" s="16"/>
      <c r="C338" s="98" t="s">
        <v>597</v>
      </c>
      <c r="D338" s="39">
        <f>D339</f>
        <v>5593.6</v>
      </c>
      <c r="E338" s="39">
        <f t="shared" ref="E338:F338" si="101">E339</f>
        <v>1661.6</v>
      </c>
      <c r="F338" s="39">
        <f t="shared" si="101"/>
        <v>1661.6</v>
      </c>
    </row>
    <row r="339" spans="1:6" ht="63.75" x14ac:dyDescent="0.2">
      <c r="A339" s="74">
        <v>430227360</v>
      </c>
      <c r="B339" s="16" t="s">
        <v>12</v>
      </c>
      <c r="C339" s="98" t="s">
        <v>318</v>
      </c>
      <c r="D339" s="39">
        <f>5293.6+300</f>
        <v>5593.6</v>
      </c>
      <c r="E339" s="39">
        <v>1661.6</v>
      </c>
      <c r="F339" s="39">
        <v>1661.6</v>
      </c>
    </row>
    <row r="340" spans="1:6" ht="165.75" x14ac:dyDescent="0.2">
      <c r="A340" s="74">
        <v>430227370</v>
      </c>
      <c r="B340" s="16"/>
      <c r="C340" s="98" t="s">
        <v>606</v>
      </c>
      <c r="D340" s="39">
        <f>D341</f>
        <v>1300</v>
      </c>
      <c r="E340" s="39">
        <f t="shared" ref="E340:F340" si="102">E341</f>
        <v>1107.7</v>
      </c>
      <c r="F340" s="39">
        <f t="shared" si="102"/>
        <v>1107.7</v>
      </c>
    </row>
    <row r="341" spans="1:6" ht="63.75" x14ac:dyDescent="0.2">
      <c r="A341" s="74">
        <v>430227370</v>
      </c>
      <c r="B341" s="16" t="s">
        <v>12</v>
      </c>
      <c r="C341" s="98" t="s">
        <v>318</v>
      </c>
      <c r="D341" s="39">
        <f>1000+300</f>
        <v>1300</v>
      </c>
      <c r="E341" s="39">
        <v>1107.7</v>
      </c>
      <c r="F341" s="39">
        <v>1107.7</v>
      </c>
    </row>
    <row r="342" spans="1:6" ht="113.25" customHeight="1" x14ac:dyDescent="0.2">
      <c r="A342" s="74">
        <v>430227390</v>
      </c>
      <c r="B342" s="16"/>
      <c r="C342" s="98" t="s">
        <v>641</v>
      </c>
      <c r="D342" s="39">
        <f>D343</f>
        <v>2898.7</v>
      </c>
      <c r="E342" s="39">
        <f t="shared" ref="E342:F342" si="103">E343</f>
        <v>966.2</v>
      </c>
      <c r="F342" s="39">
        <f t="shared" si="103"/>
        <v>0</v>
      </c>
    </row>
    <row r="343" spans="1:6" ht="63.75" x14ac:dyDescent="0.2">
      <c r="A343" s="74">
        <v>430227390</v>
      </c>
      <c r="B343" s="16" t="s">
        <v>12</v>
      </c>
      <c r="C343" s="98" t="s">
        <v>318</v>
      </c>
      <c r="D343" s="39">
        <v>2898.7</v>
      </c>
      <c r="E343" s="39">
        <v>966.2</v>
      </c>
      <c r="F343" s="39">
        <v>0</v>
      </c>
    </row>
    <row r="344" spans="1:6" ht="102" x14ac:dyDescent="0.2">
      <c r="A344" s="74">
        <v>430227400</v>
      </c>
      <c r="B344" s="16"/>
      <c r="C344" s="98" t="s">
        <v>715</v>
      </c>
      <c r="D344" s="39">
        <f>D345</f>
        <v>3000</v>
      </c>
      <c r="E344" s="39">
        <f t="shared" ref="E344:F344" si="104">E345</f>
        <v>0</v>
      </c>
      <c r="F344" s="39">
        <f t="shared" si="104"/>
        <v>0</v>
      </c>
    </row>
    <row r="345" spans="1:6" ht="63.75" x14ac:dyDescent="0.2">
      <c r="A345" s="74">
        <v>430227400</v>
      </c>
      <c r="B345" s="16" t="s">
        <v>12</v>
      </c>
      <c r="C345" s="98" t="s">
        <v>318</v>
      </c>
      <c r="D345" s="39">
        <f>2000+1000</f>
        <v>3000</v>
      </c>
      <c r="E345" s="39">
        <v>0</v>
      </c>
      <c r="F345" s="39">
        <v>0</v>
      </c>
    </row>
    <row r="346" spans="1:6" ht="75.75" customHeight="1" x14ac:dyDescent="0.2">
      <c r="A346" s="73" t="s">
        <v>154</v>
      </c>
      <c r="B346" s="16"/>
      <c r="C346" s="141" t="s">
        <v>574</v>
      </c>
      <c r="D346" s="96">
        <f>D347+D355+D370</f>
        <v>4539.3</v>
      </c>
      <c r="E346" s="96">
        <f>E347+E355+E370</f>
        <v>5761.3</v>
      </c>
      <c r="F346" s="96">
        <f>F347+F355+F370</f>
        <v>2611.3000000000002</v>
      </c>
    </row>
    <row r="347" spans="1:6" ht="38.25" x14ac:dyDescent="0.2">
      <c r="A347" s="52" t="s">
        <v>150</v>
      </c>
      <c r="B347" s="16"/>
      <c r="C347" s="48" t="s">
        <v>297</v>
      </c>
      <c r="D347" s="93">
        <f>D348+D352</f>
        <v>1347.3</v>
      </c>
      <c r="E347" s="93">
        <f>E348+E352</f>
        <v>950</v>
      </c>
      <c r="F347" s="93">
        <f>F348+F352</f>
        <v>950</v>
      </c>
    </row>
    <row r="348" spans="1:6" ht="38.25" x14ac:dyDescent="0.2">
      <c r="A348" s="21" t="s">
        <v>262</v>
      </c>
      <c r="B348" s="16"/>
      <c r="C348" s="99" t="s">
        <v>264</v>
      </c>
      <c r="D348" s="93">
        <f>D349</f>
        <v>1123.8</v>
      </c>
      <c r="E348" s="93">
        <f>E349</f>
        <v>150</v>
      </c>
      <c r="F348" s="93">
        <f>F349</f>
        <v>150</v>
      </c>
    </row>
    <row r="349" spans="1:6" ht="38.25" x14ac:dyDescent="0.25">
      <c r="A349" s="136" t="s">
        <v>480</v>
      </c>
      <c r="B349" s="3"/>
      <c r="C349" s="98" t="s">
        <v>263</v>
      </c>
      <c r="D349" s="41">
        <f>SUM(D350:D351)</f>
        <v>1123.8</v>
      </c>
      <c r="E349" s="41">
        <f t="shared" ref="E349:F349" si="105">SUM(E350:E351)</f>
        <v>150</v>
      </c>
      <c r="F349" s="41">
        <f t="shared" si="105"/>
        <v>150</v>
      </c>
    </row>
    <row r="350" spans="1:6" ht="38.25" x14ac:dyDescent="0.2">
      <c r="A350" s="136" t="s">
        <v>480</v>
      </c>
      <c r="B350" s="82" t="s">
        <v>211</v>
      </c>
      <c r="C350" s="98" t="s">
        <v>212</v>
      </c>
      <c r="D350" s="41">
        <f>1378.5-59.3-0.2-195.4</f>
        <v>1123.5999999999999</v>
      </c>
      <c r="E350" s="41">
        <v>150</v>
      </c>
      <c r="F350" s="41">
        <v>150</v>
      </c>
    </row>
    <row r="351" spans="1:6" x14ac:dyDescent="0.2">
      <c r="A351" s="136" t="s">
        <v>480</v>
      </c>
      <c r="B351" s="82" t="s">
        <v>748</v>
      </c>
      <c r="C351" s="173" t="s">
        <v>749</v>
      </c>
      <c r="D351" s="41">
        <v>0.2</v>
      </c>
      <c r="E351" s="41">
        <v>0</v>
      </c>
      <c r="F351" s="41">
        <v>0</v>
      </c>
    </row>
    <row r="352" spans="1:6" ht="38.25" x14ac:dyDescent="0.2">
      <c r="A352" s="21" t="s">
        <v>298</v>
      </c>
      <c r="B352" s="16"/>
      <c r="C352" s="99" t="s">
        <v>265</v>
      </c>
      <c r="D352" s="93">
        <f t="shared" ref="D352:F352" si="106">D353</f>
        <v>223.5</v>
      </c>
      <c r="E352" s="93">
        <f t="shared" si="106"/>
        <v>800</v>
      </c>
      <c r="F352" s="93">
        <f t="shared" si="106"/>
        <v>800</v>
      </c>
    </row>
    <row r="353" spans="1:6" ht="25.5" x14ac:dyDescent="0.25">
      <c r="A353" s="21" t="s">
        <v>481</v>
      </c>
      <c r="B353" s="3"/>
      <c r="C353" s="98" t="s">
        <v>335</v>
      </c>
      <c r="D353" s="41">
        <f>D354</f>
        <v>223.5</v>
      </c>
      <c r="E353" s="41">
        <f>E354</f>
        <v>800</v>
      </c>
      <c r="F353" s="41">
        <f>F354</f>
        <v>800</v>
      </c>
    </row>
    <row r="354" spans="1:6" ht="38.25" x14ac:dyDescent="0.2">
      <c r="A354" s="21" t="s">
        <v>481</v>
      </c>
      <c r="B354" s="82" t="s">
        <v>211</v>
      </c>
      <c r="C354" s="98" t="s">
        <v>212</v>
      </c>
      <c r="D354" s="39">
        <f>123.5+100</f>
        <v>223.5</v>
      </c>
      <c r="E354" s="39">
        <v>800</v>
      </c>
      <c r="F354" s="39">
        <v>800</v>
      </c>
    </row>
    <row r="355" spans="1:6" ht="38.25" x14ac:dyDescent="0.2">
      <c r="A355" s="52" t="s">
        <v>151</v>
      </c>
      <c r="B355" s="16"/>
      <c r="C355" s="48" t="s">
        <v>148</v>
      </c>
      <c r="D355" s="93">
        <f>D356+D363</f>
        <v>1207</v>
      </c>
      <c r="E355" s="93">
        <f t="shared" ref="E355:F355" si="107">E356+E363</f>
        <v>1510</v>
      </c>
      <c r="F355" s="93">
        <f t="shared" si="107"/>
        <v>200</v>
      </c>
    </row>
    <row r="356" spans="1:6" ht="25.5" x14ac:dyDescent="0.2">
      <c r="A356" s="21" t="s">
        <v>266</v>
      </c>
      <c r="B356" s="82"/>
      <c r="C356" s="99" t="s">
        <v>267</v>
      </c>
      <c r="D356" s="93">
        <f>D357+D359+D361</f>
        <v>101.7</v>
      </c>
      <c r="E356" s="93">
        <f t="shared" ref="E356:F356" si="108">E357+E359+E361</f>
        <v>290</v>
      </c>
      <c r="F356" s="93">
        <f t="shared" si="108"/>
        <v>200</v>
      </c>
    </row>
    <row r="357" spans="1:6" ht="114.75" x14ac:dyDescent="0.25">
      <c r="A357" s="79">
        <v>520123261</v>
      </c>
      <c r="B357" s="3"/>
      <c r="C357" s="98" t="s">
        <v>268</v>
      </c>
      <c r="D357" s="41">
        <f>D358</f>
        <v>0</v>
      </c>
      <c r="E357" s="41">
        <f>E358</f>
        <v>100</v>
      </c>
      <c r="F357" s="41">
        <f>F358</f>
        <v>0</v>
      </c>
    </row>
    <row r="358" spans="1:6" ht="38.25" x14ac:dyDescent="0.2">
      <c r="A358" s="79">
        <v>520123261</v>
      </c>
      <c r="B358" s="82" t="s">
        <v>211</v>
      </c>
      <c r="C358" s="98" t="s">
        <v>212</v>
      </c>
      <c r="D358" s="41">
        <v>0</v>
      </c>
      <c r="E358" s="41">
        <v>100</v>
      </c>
      <c r="F358" s="41">
        <v>0</v>
      </c>
    </row>
    <row r="359" spans="1:6" ht="38.25" x14ac:dyDescent="0.2">
      <c r="A359" s="79">
        <v>520123262</v>
      </c>
      <c r="B359" s="16"/>
      <c r="C359" s="98" t="s">
        <v>299</v>
      </c>
      <c r="D359" s="41">
        <f>D360</f>
        <v>0</v>
      </c>
      <c r="E359" s="41">
        <f>E360</f>
        <v>20</v>
      </c>
      <c r="F359" s="41">
        <f>F360</f>
        <v>20</v>
      </c>
    </row>
    <row r="360" spans="1:6" ht="38.25" x14ac:dyDescent="0.2">
      <c r="A360" s="79">
        <v>520123262</v>
      </c>
      <c r="B360" s="82" t="s">
        <v>211</v>
      </c>
      <c r="C360" s="98" t="s">
        <v>212</v>
      </c>
      <c r="D360" s="41">
        <v>0</v>
      </c>
      <c r="E360" s="41">
        <v>20</v>
      </c>
      <c r="F360" s="41">
        <v>20</v>
      </c>
    </row>
    <row r="361" spans="1:6" ht="16.5" customHeight="1" x14ac:dyDescent="0.2">
      <c r="A361" s="136" t="s">
        <v>482</v>
      </c>
      <c r="B361" s="82"/>
      <c r="C361" s="98" t="s">
        <v>483</v>
      </c>
      <c r="D361" s="41">
        <f>D362</f>
        <v>101.7</v>
      </c>
      <c r="E361" s="41">
        <f>E362</f>
        <v>170</v>
      </c>
      <c r="F361" s="41">
        <f>F362</f>
        <v>180</v>
      </c>
    </row>
    <row r="362" spans="1:6" ht="38.25" x14ac:dyDescent="0.2">
      <c r="A362" s="136" t="s">
        <v>482</v>
      </c>
      <c r="B362" s="82" t="s">
        <v>211</v>
      </c>
      <c r="C362" s="98" t="s">
        <v>212</v>
      </c>
      <c r="D362" s="41">
        <f>160-58.3</f>
        <v>101.7</v>
      </c>
      <c r="E362" s="41">
        <v>170</v>
      </c>
      <c r="F362" s="41">
        <v>180</v>
      </c>
    </row>
    <row r="363" spans="1:6" ht="25.5" x14ac:dyDescent="0.2">
      <c r="A363" s="21" t="s">
        <v>269</v>
      </c>
      <c r="B363" s="82"/>
      <c r="C363" s="99" t="s">
        <v>484</v>
      </c>
      <c r="D363" s="41">
        <f>D364+D366+D368</f>
        <v>1105.3</v>
      </c>
      <c r="E363" s="41">
        <f t="shared" ref="E363:F363" si="109">E364+E366+E368</f>
        <v>1220</v>
      </c>
      <c r="F363" s="41">
        <f t="shared" si="109"/>
        <v>0</v>
      </c>
    </row>
    <row r="364" spans="1:6" ht="38.25" x14ac:dyDescent="0.2">
      <c r="A364" s="79">
        <v>520223264</v>
      </c>
      <c r="B364" s="82"/>
      <c r="C364" s="98" t="s">
        <v>760</v>
      </c>
      <c r="D364" s="41">
        <f>D365</f>
        <v>905.3</v>
      </c>
      <c r="E364" s="41">
        <f t="shared" ref="E364:F364" si="110">E365</f>
        <v>0</v>
      </c>
      <c r="F364" s="41">
        <f t="shared" si="110"/>
        <v>0</v>
      </c>
    </row>
    <row r="365" spans="1:6" x14ac:dyDescent="0.2">
      <c r="A365" s="79">
        <v>520223264</v>
      </c>
      <c r="B365" s="82" t="s">
        <v>131</v>
      </c>
      <c r="C365" s="98" t="s">
        <v>132</v>
      </c>
      <c r="D365" s="41">
        <v>905.3</v>
      </c>
      <c r="E365" s="41">
        <v>0</v>
      </c>
      <c r="F365" s="41">
        <v>0</v>
      </c>
    </row>
    <row r="366" spans="1:6" ht="51" customHeight="1" x14ac:dyDescent="0.2">
      <c r="A366" s="79">
        <v>520223265</v>
      </c>
      <c r="B366" s="82"/>
      <c r="C366" s="98" t="s">
        <v>485</v>
      </c>
      <c r="D366" s="41">
        <f>D367</f>
        <v>0</v>
      </c>
      <c r="E366" s="41">
        <f>E367</f>
        <v>1220</v>
      </c>
      <c r="F366" s="41">
        <f>F367</f>
        <v>0</v>
      </c>
    </row>
    <row r="367" spans="1:6" x14ac:dyDescent="0.2">
      <c r="A367" s="79">
        <v>520223265</v>
      </c>
      <c r="B367" s="82" t="s">
        <v>248</v>
      </c>
      <c r="C367" s="99" t="s">
        <v>271</v>
      </c>
      <c r="D367" s="41">
        <f>2890-2890</f>
        <v>0</v>
      </c>
      <c r="E367" s="41">
        <v>1220</v>
      </c>
      <c r="F367" s="41">
        <v>0</v>
      </c>
    </row>
    <row r="368" spans="1:6" ht="25.5" x14ac:dyDescent="0.2">
      <c r="A368" s="21" t="s">
        <v>486</v>
      </c>
      <c r="B368" s="82"/>
      <c r="C368" s="99" t="s">
        <v>272</v>
      </c>
      <c r="D368" s="41">
        <f>D369</f>
        <v>200</v>
      </c>
      <c r="E368" s="41">
        <f>E369</f>
        <v>0</v>
      </c>
      <c r="F368" s="41">
        <f>F369</f>
        <v>0</v>
      </c>
    </row>
    <row r="369" spans="1:6" ht="38.25" x14ac:dyDescent="0.2">
      <c r="A369" s="21" t="s">
        <v>486</v>
      </c>
      <c r="B369" s="82" t="s">
        <v>211</v>
      </c>
      <c r="C369" s="98" t="s">
        <v>212</v>
      </c>
      <c r="D369" s="41">
        <v>200</v>
      </c>
      <c r="E369" s="39">
        <v>0</v>
      </c>
      <c r="F369" s="39">
        <v>0</v>
      </c>
    </row>
    <row r="370" spans="1:6" ht="51" x14ac:dyDescent="0.2">
      <c r="A370" s="52" t="s">
        <v>152</v>
      </c>
      <c r="B370" s="16"/>
      <c r="C370" s="48" t="s">
        <v>149</v>
      </c>
      <c r="D370" s="93">
        <f>D371+D374</f>
        <v>1985</v>
      </c>
      <c r="E370" s="93">
        <f>E371+E374</f>
        <v>3301.3</v>
      </c>
      <c r="F370" s="93">
        <f>F371+F374</f>
        <v>1461.3</v>
      </c>
    </row>
    <row r="371" spans="1:6" ht="62.25" customHeight="1" x14ac:dyDescent="0.2">
      <c r="A371" s="21" t="s">
        <v>273</v>
      </c>
      <c r="B371" s="82"/>
      <c r="C371" s="99" t="s">
        <v>310</v>
      </c>
      <c r="D371" s="39">
        <f t="shared" ref="D371:F372" si="111">D372</f>
        <v>1985</v>
      </c>
      <c r="E371" s="39">
        <f t="shared" si="111"/>
        <v>1461.3</v>
      </c>
      <c r="F371" s="39">
        <f t="shared" si="111"/>
        <v>1461.3</v>
      </c>
    </row>
    <row r="372" spans="1:6" ht="63.75" x14ac:dyDescent="0.2">
      <c r="A372" s="79">
        <v>530123271</v>
      </c>
      <c r="B372" s="16"/>
      <c r="C372" s="98" t="s">
        <v>153</v>
      </c>
      <c r="D372" s="41">
        <f t="shared" si="111"/>
        <v>1985</v>
      </c>
      <c r="E372" s="41">
        <f t="shared" si="111"/>
        <v>1461.3</v>
      </c>
      <c r="F372" s="41">
        <f t="shared" si="111"/>
        <v>1461.3</v>
      </c>
    </row>
    <row r="373" spans="1:6" ht="38.25" x14ac:dyDescent="0.2">
      <c r="A373" s="79">
        <v>530123271</v>
      </c>
      <c r="B373" s="82" t="s">
        <v>211</v>
      </c>
      <c r="C373" s="98" t="s">
        <v>212</v>
      </c>
      <c r="D373" s="147">
        <f>961.3+456.1+59.3+253.7+104.6+150</f>
        <v>1985</v>
      </c>
      <c r="E373" s="1">
        <v>1461.3</v>
      </c>
      <c r="F373" s="1">
        <v>1461.3</v>
      </c>
    </row>
    <row r="374" spans="1:6" ht="51" x14ac:dyDescent="0.2">
      <c r="A374" s="21" t="s">
        <v>274</v>
      </c>
      <c r="B374" s="16"/>
      <c r="C374" s="99" t="s">
        <v>487</v>
      </c>
      <c r="D374" s="41">
        <f t="shared" ref="D374:F375" si="112">D375</f>
        <v>0</v>
      </c>
      <c r="E374" s="41">
        <f t="shared" si="112"/>
        <v>1840</v>
      </c>
      <c r="F374" s="41">
        <f t="shared" si="112"/>
        <v>0</v>
      </c>
    </row>
    <row r="375" spans="1:6" ht="39" customHeight="1" x14ac:dyDescent="0.2">
      <c r="A375" s="79">
        <v>530223272</v>
      </c>
      <c r="B375" s="16"/>
      <c r="C375" s="98" t="s">
        <v>488</v>
      </c>
      <c r="D375" s="41">
        <f t="shared" si="112"/>
        <v>0</v>
      </c>
      <c r="E375" s="41">
        <f t="shared" si="112"/>
        <v>1840</v>
      </c>
      <c r="F375" s="41">
        <f t="shared" si="112"/>
        <v>0</v>
      </c>
    </row>
    <row r="376" spans="1:6" ht="38.25" x14ac:dyDescent="0.2">
      <c r="A376" s="79">
        <v>530223272</v>
      </c>
      <c r="B376" s="82" t="s">
        <v>211</v>
      </c>
      <c r="C376" s="98" t="s">
        <v>212</v>
      </c>
      <c r="D376" s="41">
        <v>0</v>
      </c>
      <c r="E376" s="41">
        <v>1840</v>
      </c>
      <c r="F376" s="41">
        <v>0</v>
      </c>
    </row>
    <row r="377" spans="1:6" ht="79.5" customHeight="1" x14ac:dyDescent="0.2">
      <c r="A377" s="78" t="s">
        <v>65</v>
      </c>
      <c r="B377" s="16"/>
      <c r="C377" s="63" t="s">
        <v>573</v>
      </c>
      <c r="D377" s="96">
        <f t="shared" ref="D377:F380" si="113">D378</f>
        <v>529.29999999999995</v>
      </c>
      <c r="E377" s="96">
        <f t="shared" si="113"/>
        <v>529.30000000000007</v>
      </c>
      <c r="F377" s="96">
        <f t="shared" si="113"/>
        <v>529.30000000000007</v>
      </c>
    </row>
    <row r="378" spans="1:6" ht="40.5" customHeight="1" x14ac:dyDescent="0.2">
      <c r="A378" s="77" t="s">
        <v>66</v>
      </c>
      <c r="B378" s="16"/>
      <c r="C378" s="60" t="s">
        <v>491</v>
      </c>
      <c r="D378" s="93">
        <f t="shared" si="113"/>
        <v>529.29999999999995</v>
      </c>
      <c r="E378" s="93">
        <f t="shared" si="113"/>
        <v>529.30000000000007</v>
      </c>
      <c r="F378" s="93">
        <f t="shared" si="113"/>
        <v>529.30000000000007</v>
      </c>
    </row>
    <row r="379" spans="1:6" ht="63.75" x14ac:dyDescent="0.2">
      <c r="A379" s="74">
        <v>610100000</v>
      </c>
      <c r="B379" s="16"/>
      <c r="C379" s="98" t="s">
        <v>490</v>
      </c>
      <c r="D379" s="39">
        <f>D380+D382</f>
        <v>529.29999999999995</v>
      </c>
      <c r="E379" s="39">
        <f t="shared" ref="E379:F379" si="114">E380+E382</f>
        <v>529.30000000000007</v>
      </c>
      <c r="F379" s="39">
        <f t="shared" si="114"/>
        <v>529.30000000000007</v>
      </c>
    </row>
    <row r="380" spans="1:6" ht="38.25" x14ac:dyDescent="0.2">
      <c r="A380" s="137" t="s">
        <v>489</v>
      </c>
      <c r="B380" s="16"/>
      <c r="C380" s="98" t="s">
        <v>599</v>
      </c>
      <c r="D380" s="41">
        <f t="shared" ref="D380" si="115">D381</f>
        <v>521.4</v>
      </c>
      <c r="E380" s="41">
        <f t="shared" si="113"/>
        <v>522.1</v>
      </c>
      <c r="F380" s="41">
        <f t="shared" si="113"/>
        <v>522.1</v>
      </c>
    </row>
    <row r="381" spans="1:6" ht="38.25" x14ac:dyDescent="0.2">
      <c r="A381" s="137" t="s">
        <v>489</v>
      </c>
      <c r="B381" s="82" t="s">
        <v>211</v>
      </c>
      <c r="C381" s="98" t="s">
        <v>212</v>
      </c>
      <c r="D381" s="41">
        <f>522.1-0.7</f>
        <v>521.4</v>
      </c>
      <c r="E381" s="41">
        <v>522.1</v>
      </c>
      <c r="F381" s="41">
        <v>522.1</v>
      </c>
    </row>
    <row r="382" spans="1:6" ht="30" customHeight="1" x14ac:dyDescent="0.2">
      <c r="A382" s="137" t="s">
        <v>542</v>
      </c>
      <c r="B382" s="82"/>
      <c r="C382" s="98" t="s">
        <v>543</v>
      </c>
      <c r="D382" s="41">
        <f>D383</f>
        <v>7.9</v>
      </c>
      <c r="E382" s="41">
        <f t="shared" ref="E382:F382" si="116">E383</f>
        <v>7.2</v>
      </c>
      <c r="F382" s="41">
        <f t="shared" si="116"/>
        <v>7.2</v>
      </c>
    </row>
    <row r="383" spans="1:6" ht="38.25" x14ac:dyDescent="0.2">
      <c r="A383" s="137" t="s">
        <v>542</v>
      </c>
      <c r="B383" s="82" t="s">
        <v>211</v>
      </c>
      <c r="C383" s="98" t="s">
        <v>212</v>
      </c>
      <c r="D383" s="41">
        <f>7.2+0.7</f>
        <v>7.9</v>
      </c>
      <c r="E383" s="41">
        <v>7.2</v>
      </c>
      <c r="F383" s="41">
        <v>7.2</v>
      </c>
    </row>
    <row r="384" spans="1:6" ht="90" customHeight="1" x14ac:dyDescent="0.2">
      <c r="A384" s="81" t="s">
        <v>32</v>
      </c>
      <c r="B384" s="16"/>
      <c r="C384" s="53" t="s">
        <v>577</v>
      </c>
      <c r="D384" s="96">
        <f>D385+D394+D406</f>
        <v>35060.399999999994</v>
      </c>
      <c r="E384" s="96">
        <f>E385+E394+E406</f>
        <v>8362.7999999999993</v>
      </c>
      <c r="F384" s="96">
        <f>F385+F394+F406</f>
        <v>8325.2000000000007</v>
      </c>
    </row>
    <row r="385" spans="1:7" ht="25.5" customHeight="1" x14ac:dyDescent="0.2">
      <c r="A385" s="52" t="s">
        <v>33</v>
      </c>
      <c r="B385" s="16"/>
      <c r="C385" s="48" t="s">
        <v>546</v>
      </c>
      <c r="D385" s="93">
        <f>D386+D389</f>
        <v>690.9</v>
      </c>
      <c r="E385" s="93">
        <f>E386+E389</f>
        <v>685</v>
      </c>
      <c r="F385" s="93">
        <f>F386+F389</f>
        <v>530</v>
      </c>
      <c r="G385" s="103"/>
    </row>
    <row r="386" spans="1:7" ht="38.25" x14ac:dyDescent="0.2">
      <c r="A386" s="21" t="s">
        <v>235</v>
      </c>
      <c r="B386" s="16"/>
      <c r="C386" s="99" t="s">
        <v>234</v>
      </c>
      <c r="D386" s="93">
        <f t="shared" ref="D386:F387" si="117">D387</f>
        <v>521.9</v>
      </c>
      <c r="E386" s="93">
        <f t="shared" si="117"/>
        <v>510</v>
      </c>
      <c r="F386" s="93">
        <f t="shared" si="117"/>
        <v>510</v>
      </c>
    </row>
    <row r="387" spans="1:7" ht="25.5" x14ac:dyDescent="0.25">
      <c r="A387" s="21" t="s">
        <v>492</v>
      </c>
      <c r="B387" s="3"/>
      <c r="C387" s="98" t="s">
        <v>188</v>
      </c>
      <c r="D387" s="41">
        <f t="shared" si="117"/>
        <v>521.9</v>
      </c>
      <c r="E387" s="41">
        <f t="shared" si="117"/>
        <v>510</v>
      </c>
      <c r="F387" s="41">
        <f t="shared" si="117"/>
        <v>510</v>
      </c>
    </row>
    <row r="388" spans="1:7" ht="38.25" x14ac:dyDescent="0.2">
      <c r="A388" s="21" t="s">
        <v>492</v>
      </c>
      <c r="B388" s="82" t="s">
        <v>211</v>
      </c>
      <c r="C388" s="98" t="s">
        <v>212</v>
      </c>
      <c r="D388" s="41">
        <f>510+11.9</f>
        <v>521.9</v>
      </c>
      <c r="E388" s="41">
        <v>510</v>
      </c>
      <c r="F388" s="41">
        <v>510</v>
      </c>
      <c r="G388" s="103"/>
    </row>
    <row r="389" spans="1:7" ht="38.25" x14ac:dyDescent="0.2">
      <c r="A389" s="21" t="s">
        <v>494</v>
      </c>
      <c r="B389" s="82"/>
      <c r="C389" s="99" t="s">
        <v>334</v>
      </c>
      <c r="D389" s="41">
        <f>D390+D392</f>
        <v>169</v>
      </c>
      <c r="E389" s="41">
        <f t="shared" ref="E389:F389" si="118">E390+E392</f>
        <v>175</v>
      </c>
      <c r="F389" s="41">
        <f t="shared" si="118"/>
        <v>20</v>
      </c>
      <c r="G389" s="103"/>
    </row>
    <row r="390" spans="1:7" ht="25.5" x14ac:dyDescent="0.2">
      <c r="A390" s="21" t="s">
        <v>493</v>
      </c>
      <c r="B390" s="16"/>
      <c r="C390" s="98" t="s">
        <v>333</v>
      </c>
      <c r="D390" s="41">
        <f>D391</f>
        <v>14</v>
      </c>
      <c r="E390" s="41">
        <f t="shared" ref="E390:F390" si="119">E391</f>
        <v>20</v>
      </c>
      <c r="F390" s="41">
        <f t="shared" si="119"/>
        <v>20</v>
      </c>
      <c r="G390" s="103"/>
    </row>
    <row r="391" spans="1:7" ht="38.25" x14ac:dyDescent="0.2">
      <c r="A391" s="21" t="s">
        <v>493</v>
      </c>
      <c r="B391" s="82" t="s">
        <v>211</v>
      </c>
      <c r="C391" s="98" t="s">
        <v>212</v>
      </c>
      <c r="D391" s="41">
        <f>10+4</f>
        <v>14</v>
      </c>
      <c r="E391" s="41">
        <v>20</v>
      </c>
      <c r="F391" s="41">
        <v>20</v>
      </c>
      <c r="G391" s="103"/>
    </row>
    <row r="392" spans="1:7" ht="38.25" x14ac:dyDescent="0.2">
      <c r="A392" s="21" t="s">
        <v>547</v>
      </c>
      <c r="B392" s="82"/>
      <c r="C392" s="98" t="s">
        <v>548</v>
      </c>
      <c r="D392" s="41">
        <f>D393</f>
        <v>155</v>
      </c>
      <c r="E392" s="41">
        <f t="shared" ref="E392:F392" si="120">E393</f>
        <v>155</v>
      </c>
      <c r="F392" s="41">
        <f t="shared" si="120"/>
        <v>0</v>
      </c>
      <c r="G392" s="103"/>
    </row>
    <row r="393" spans="1:7" ht="38.25" x14ac:dyDescent="0.2">
      <c r="A393" s="21" t="s">
        <v>547</v>
      </c>
      <c r="B393" s="82" t="s">
        <v>211</v>
      </c>
      <c r="C393" s="98" t="s">
        <v>212</v>
      </c>
      <c r="D393" s="41">
        <v>155</v>
      </c>
      <c r="E393" s="41">
        <v>155</v>
      </c>
      <c r="F393" s="41">
        <v>0</v>
      </c>
      <c r="G393" s="103"/>
    </row>
    <row r="394" spans="1:7" ht="25.5" x14ac:dyDescent="0.2">
      <c r="A394" s="52" t="s">
        <v>368</v>
      </c>
      <c r="B394" s="16"/>
      <c r="C394" s="46" t="s">
        <v>341</v>
      </c>
      <c r="D394" s="93">
        <f>D395+D401</f>
        <v>31306.799999999996</v>
      </c>
      <c r="E394" s="93">
        <f t="shared" ref="E394:F394" si="121">E395+E401</f>
        <v>2850</v>
      </c>
      <c r="F394" s="93">
        <f t="shared" si="121"/>
        <v>2850</v>
      </c>
      <c r="G394" s="103"/>
    </row>
    <row r="395" spans="1:7" ht="38.25" x14ac:dyDescent="0.2">
      <c r="A395" s="21" t="s">
        <v>495</v>
      </c>
      <c r="B395" s="16"/>
      <c r="C395" s="99" t="s">
        <v>302</v>
      </c>
      <c r="D395" s="39">
        <f>D396+D398</f>
        <v>2099.5</v>
      </c>
      <c r="E395" s="39">
        <f t="shared" ref="E395:F395" si="122">E396+E398</f>
        <v>750</v>
      </c>
      <c r="F395" s="39">
        <f t="shared" si="122"/>
        <v>750</v>
      </c>
      <c r="G395" s="103"/>
    </row>
    <row r="396" spans="1:7" ht="36" customHeight="1" x14ac:dyDescent="0.2">
      <c r="A396" s="21" t="s">
        <v>496</v>
      </c>
      <c r="B396" s="16"/>
      <c r="C396" s="97" t="s">
        <v>189</v>
      </c>
      <c r="D396" s="41">
        <f>D397</f>
        <v>178</v>
      </c>
      <c r="E396" s="41">
        <f>E397</f>
        <v>200</v>
      </c>
      <c r="F396" s="41">
        <f>F397</f>
        <v>200</v>
      </c>
      <c r="G396" s="103"/>
    </row>
    <row r="397" spans="1:7" ht="38.25" x14ac:dyDescent="0.2">
      <c r="A397" s="21" t="s">
        <v>496</v>
      </c>
      <c r="B397" s="82" t="s">
        <v>211</v>
      </c>
      <c r="C397" s="98" t="s">
        <v>212</v>
      </c>
      <c r="D397" s="41">
        <f>200-22</f>
        <v>178</v>
      </c>
      <c r="E397" s="41">
        <v>200</v>
      </c>
      <c r="F397" s="41">
        <v>200</v>
      </c>
      <c r="G397" s="103"/>
    </row>
    <row r="398" spans="1:7" ht="27" customHeight="1" x14ac:dyDescent="0.2">
      <c r="A398" s="21" t="s">
        <v>498</v>
      </c>
      <c r="B398" s="82"/>
      <c r="C398" s="98" t="s">
        <v>497</v>
      </c>
      <c r="D398" s="41">
        <f>SUM(D399:D400)</f>
        <v>1921.5</v>
      </c>
      <c r="E398" s="41">
        <f t="shared" ref="E398:F398" si="123">SUM(E399:E400)</f>
        <v>550</v>
      </c>
      <c r="F398" s="41">
        <f t="shared" si="123"/>
        <v>550</v>
      </c>
      <c r="G398" s="103"/>
    </row>
    <row r="399" spans="1:7" ht="38.25" x14ac:dyDescent="0.2">
      <c r="A399" s="21" t="s">
        <v>498</v>
      </c>
      <c r="B399" s="82" t="s">
        <v>211</v>
      </c>
      <c r="C399" s="98" t="s">
        <v>212</v>
      </c>
      <c r="D399" s="41">
        <f>400+621.2+378.8</f>
        <v>1400</v>
      </c>
      <c r="E399" s="41">
        <v>550</v>
      </c>
      <c r="F399" s="41">
        <v>550</v>
      </c>
      <c r="G399" s="103"/>
    </row>
    <row r="400" spans="1:7" x14ac:dyDescent="0.2">
      <c r="A400" s="21" t="s">
        <v>498</v>
      </c>
      <c r="B400" s="82" t="s">
        <v>248</v>
      </c>
      <c r="C400" s="99" t="s">
        <v>271</v>
      </c>
      <c r="D400" s="41">
        <v>521.5</v>
      </c>
      <c r="E400" s="41">
        <v>0</v>
      </c>
      <c r="F400" s="41">
        <v>0</v>
      </c>
      <c r="G400" s="103"/>
    </row>
    <row r="401" spans="1:7" ht="38.25" x14ac:dyDescent="0.2">
      <c r="A401" s="21" t="s">
        <v>500</v>
      </c>
      <c r="B401" s="82"/>
      <c r="C401" s="99" t="s">
        <v>709</v>
      </c>
      <c r="D401" s="41">
        <f>D402+D404</f>
        <v>29207.299999999996</v>
      </c>
      <c r="E401" s="41">
        <f t="shared" ref="E401:F401" si="124">E402+E404</f>
        <v>2100</v>
      </c>
      <c r="F401" s="41">
        <f t="shared" si="124"/>
        <v>2100</v>
      </c>
      <c r="G401" s="103"/>
    </row>
    <row r="402" spans="1:7" ht="38.25" x14ac:dyDescent="0.2">
      <c r="A402" s="21" t="s">
        <v>499</v>
      </c>
      <c r="B402" s="16"/>
      <c r="C402" s="98" t="s">
        <v>579</v>
      </c>
      <c r="D402" s="41">
        <f t="shared" ref="D402:F402" si="125">D403</f>
        <v>0</v>
      </c>
      <c r="E402" s="41">
        <f t="shared" si="125"/>
        <v>2100</v>
      </c>
      <c r="F402" s="41">
        <f t="shared" si="125"/>
        <v>2100</v>
      </c>
      <c r="G402" s="103"/>
    </row>
    <row r="403" spans="1:7" ht="38.25" x14ac:dyDescent="0.2">
      <c r="A403" s="21" t="s">
        <v>499</v>
      </c>
      <c r="B403" s="82" t="s">
        <v>211</v>
      </c>
      <c r="C403" s="98" t="s">
        <v>212</v>
      </c>
      <c r="D403" s="41">
        <f>3689.4-3689.4</f>
        <v>0</v>
      </c>
      <c r="E403" s="41">
        <v>2100</v>
      </c>
      <c r="F403" s="41">
        <v>2100</v>
      </c>
      <c r="G403" s="103"/>
    </row>
    <row r="404" spans="1:7" ht="25.5" x14ac:dyDescent="0.2">
      <c r="A404" s="21" t="s">
        <v>710</v>
      </c>
      <c r="B404" s="82"/>
      <c r="C404" s="98" t="s">
        <v>711</v>
      </c>
      <c r="D404" s="41">
        <f>D405</f>
        <v>29207.299999999996</v>
      </c>
      <c r="E404" s="41">
        <f t="shared" ref="E404:F404" si="126">E405</f>
        <v>0</v>
      </c>
      <c r="F404" s="41">
        <f t="shared" si="126"/>
        <v>0</v>
      </c>
      <c r="G404" s="103"/>
    </row>
    <row r="405" spans="1:7" x14ac:dyDescent="0.2">
      <c r="A405" s="21" t="s">
        <v>710</v>
      </c>
      <c r="B405" s="82" t="s">
        <v>248</v>
      </c>
      <c r="C405" s="99" t="s">
        <v>271</v>
      </c>
      <c r="D405" s="41">
        <f>40000-6756.8-4035.9</f>
        <v>29207.299999999996</v>
      </c>
      <c r="E405" s="41">
        <v>0</v>
      </c>
      <c r="F405" s="41">
        <v>0</v>
      </c>
      <c r="G405" s="103"/>
    </row>
    <row r="406" spans="1:7" ht="38.25" x14ac:dyDescent="0.2">
      <c r="A406" s="52" t="s">
        <v>34</v>
      </c>
      <c r="B406" s="16"/>
      <c r="C406" s="46" t="s">
        <v>501</v>
      </c>
      <c r="D406" s="41">
        <f>D407+D410</f>
        <v>3062.7</v>
      </c>
      <c r="E406" s="41">
        <f>E407+E410</f>
        <v>4827.8</v>
      </c>
      <c r="F406" s="41">
        <f>F407+F410</f>
        <v>4945.2</v>
      </c>
      <c r="G406" s="103"/>
    </row>
    <row r="407" spans="1:7" ht="49.5" customHeight="1" x14ac:dyDescent="0.2">
      <c r="A407" s="21" t="s">
        <v>236</v>
      </c>
      <c r="B407" s="16"/>
      <c r="C407" s="99" t="s">
        <v>646</v>
      </c>
      <c r="D407" s="41">
        <f>D408</f>
        <v>1763.6999999999998</v>
      </c>
      <c r="E407" s="41">
        <f t="shared" ref="E407:F407" si="127">E408</f>
        <v>1700</v>
      </c>
      <c r="F407" s="41">
        <f t="shared" si="127"/>
        <v>1700</v>
      </c>
      <c r="G407" s="103"/>
    </row>
    <row r="408" spans="1:7" ht="39.75" customHeight="1" x14ac:dyDescent="0.2">
      <c r="A408" s="21" t="s">
        <v>503</v>
      </c>
      <c r="B408" s="16"/>
      <c r="C408" s="99" t="s">
        <v>502</v>
      </c>
      <c r="D408" s="41">
        <f>D409</f>
        <v>1763.6999999999998</v>
      </c>
      <c r="E408" s="41">
        <f t="shared" ref="E408:F408" si="128">E409</f>
        <v>1700</v>
      </c>
      <c r="F408" s="41">
        <f t="shared" si="128"/>
        <v>1700</v>
      </c>
      <c r="G408" s="103"/>
    </row>
    <row r="409" spans="1:7" ht="42.75" customHeight="1" x14ac:dyDescent="0.2">
      <c r="A409" s="21" t="s">
        <v>503</v>
      </c>
      <c r="B409" s="82" t="s">
        <v>211</v>
      </c>
      <c r="C409" s="98" t="s">
        <v>212</v>
      </c>
      <c r="D409" s="41">
        <f>1164+1050+239.1-533.4-156</f>
        <v>1763.6999999999998</v>
      </c>
      <c r="E409" s="41">
        <f>700+1000</f>
        <v>1700</v>
      </c>
      <c r="F409" s="41">
        <f>700+1000</f>
        <v>1700</v>
      </c>
      <c r="G409" s="103"/>
    </row>
    <row r="410" spans="1:7" ht="25.5" customHeight="1" x14ac:dyDescent="0.2">
      <c r="A410" s="21" t="s">
        <v>367</v>
      </c>
      <c r="B410" s="82"/>
      <c r="C410" s="99" t="s">
        <v>578</v>
      </c>
      <c r="D410" s="41">
        <f>D411</f>
        <v>1299</v>
      </c>
      <c r="E410" s="41">
        <f t="shared" ref="E410:F411" si="129">E411</f>
        <v>3127.8</v>
      </c>
      <c r="F410" s="41">
        <f t="shared" si="129"/>
        <v>3245.2</v>
      </c>
      <c r="G410" s="103"/>
    </row>
    <row r="411" spans="1:7" ht="26.25" customHeight="1" x14ac:dyDescent="0.2">
      <c r="A411" s="21" t="s">
        <v>504</v>
      </c>
      <c r="B411" s="16"/>
      <c r="C411" s="99" t="s">
        <v>369</v>
      </c>
      <c r="D411" s="41">
        <f>D412</f>
        <v>1299</v>
      </c>
      <c r="E411" s="41">
        <f t="shared" si="129"/>
        <v>3127.8</v>
      </c>
      <c r="F411" s="41">
        <f t="shared" si="129"/>
        <v>3245.2</v>
      </c>
      <c r="G411" s="103"/>
    </row>
    <row r="412" spans="1:7" ht="12.75" customHeight="1" x14ac:dyDescent="0.2">
      <c r="A412" s="21" t="s">
        <v>504</v>
      </c>
      <c r="B412" s="82" t="s">
        <v>248</v>
      </c>
      <c r="C412" s="99" t="s">
        <v>271</v>
      </c>
      <c r="D412" s="41">
        <v>1299</v>
      </c>
      <c r="E412" s="41">
        <v>3127.8</v>
      </c>
      <c r="F412" s="41">
        <v>3245.2</v>
      </c>
      <c r="G412" s="103"/>
    </row>
    <row r="413" spans="1:7" ht="77.25" customHeight="1" x14ac:dyDescent="0.2">
      <c r="A413" s="73" t="s">
        <v>146</v>
      </c>
      <c r="B413" s="16"/>
      <c r="C413" s="63" t="s">
        <v>580</v>
      </c>
      <c r="D413" s="96">
        <f>D415</f>
        <v>240</v>
      </c>
      <c r="E413" s="96">
        <f>E415</f>
        <v>300</v>
      </c>
      <c r="F413" s="96">
        <f>F415</f>
        <v>300</v>
      </c>
    </row>
    <row r="414" spans="1:7" ht="51" x14ac:dyDescent="0.2">
      <c r="A414" s="21" t="s">
        <v>147</v>
      </c>
      <c r="B414" s="16"/>
      <c r="C414" s="48" t="s">
        <v>505</v>
      </c>
      <c r="D414" s="93">
        <f>D415</f>
        <v>240</v>
      </c>
      <c r="E414" s="93">
        <f t="shared" ref="E414:F414" si="130">E415</f>
        <v>300</v>
      </c>
      <c r="F414" s="93">
        <f t="shared" si="130"/>
        <v>300</v>
      </c>
    </row>
    <row r="415" spans="1:7" ht="76.5" customHeight="1" x14ac:dyDescent="0.2">
      <c r="A415" s="21" t="s">
        <v>210</v>
      </c>
      <c r="B415" s="16"/>
      <c r="C415" s="99" t="s">
        <v>506</v>
      </c>
      <c r="D415" s="39">
        <f>D416+D418+D420</f>
        <v>240</v>
      </c>
      <c r="E415" s="39">
        <f t="shared" ref="E415:F415" si="131">E416+E418+E420</f>
        <v>300</v>
      </c>
      <c r="F415" s="39">
        <f t="shared" si="131"/>
        <v>300</v>
      </c>
    </row>
    <row r="416" spans="1:7" ht="51.75" customHeight="1" x14ac:dyDescent="0.2">
      <c r="A416" s="137" t="s">
        <v>507</v>
      </c>
      <c r="B416" s="16"/>
      <c r="C416" s="99" t="s">
        <v>544</v>
      </c>
      <c r="D416" s="39">
        <f>D417</f>
        <v>0</v>
      </c>
      <c r="E416" s="39">
        <f>E417</f>
        <v>300</v>
      </c>
      <c r="F416" s="39">
        <f>F417</f>
        <v>300</v>
      </c>
    </row>
    <row r="417" spans="1:7" ht="38.25" x14ac:dyDescent="0.2">
      <c r="A417" s="137" t="s">
        <v>507</v>
      </c>
      <c r="B417" s="82" t="s">
        <v>211</v>
      </c>
      <c r="C417" s="98" t="s">
        <v>212</v>
      </c>
      <c r="D417" s="39"/>
      <c r="E417" s="39">
        <v>300</v>
      </c>
      <c r="F417" s="39">
        <v>300</v>
      </c>
    </row>
    <row r="418" spans="1:7" ht="76.5" customHeight="1" x14ac:dyDescent="0.2">
      <c r="A418" s="74">
        <v>810123102</v>
      </c>
      <c r="B418" s="16"/>
      <c r="C418" s="99" t="s">
        <v>508</v>
      </c>
      <c r="D418" s="39">
        <f>D419</f>
        <v>120</v>
      </c>
      <c r="E418" s="39">
        <f>E419</f>
        <v>0</v>
      </c>
      <c r="F418" s="39">
        <f>F419</f>
        <v>0</v>
      </c>
    </row>
    <row r="419" spans="1:7" ht="38.25" x14ac:dyDescent="0.2">
      <c r="A419" s="74">
        <v>810123102</v>
      </c>
      <c r="B419" s="82" t="s">
        <v>211</v>
      </c>
      <c r="C419" s="98" t="s">
        <v>212</v>
      </c>
      <c r="D419" s="39">
        <f>100+20</f>
        <v>120</v>
      </c>
      <c r="E419" s="39">
        <v>0</v>
      </c>
      <c r="F419" s="39">
        <v>0</v>
      </c>
    </row>
    <row r="420" spans="1:7" ht="82.5" customHeight="1" x14ac:dyDescent="0.2">
      <c r="A420" s="74">
        <v>810123103</v>
      </c>
      <c r="B420" s="82"/>
      <c r="C420" s="98" t="s">
        <v>663</v>
      </c>
      <c r="D420" s="39">
        <f>D421</f>
        <v>120</v>
      </c>
      <c r="E420" s="39">
        <f t="shared" ref="E420:F420" si="132">E421</f>
        <v>0</v>
      </c>
      <c r="F420" s="39">
        <f t="shared" si="132"/>
        <v>0</v>
      </c>
    </row>
    <row r="421" spans="1:7" ht="38.25" x14ac:dyDescent="0.2">
      <c r="A421" s="74">
        <v>810123103</v>
      </c>
      <c r="B421" s="82" t="s">
        <v>211</v>
      </c>
      <c r="C421" s="98" t="s">
        <v>212</v>
      </c>
      <c r="D421" s="39">
        <f>100+20</f>
        <v>120</v>
      </c>
      <c r="E421" s="39">
        <v>0</v>
      </c>
      <c r="F421" s="39">
        <v>0</v>
      </c>
    </row>
    <row r="422" spans="1:7" ht="76.5" customHeight="1" x14ac:dyDescent="0.2">
      <c r="A422" s="73" t="s">
        <v>67</v>
      </c>
      <c r="B422" s="30"/>
      <c r="C422" s="141" t="s">
        <v>581</v>
      </c>
      <c r="D422" s="96">
        <f>D423+D445</f>
        <v>233825.30000000002</v>
      </c>
      <c r="E422" s="96">
        <f>E423+E445</f>
        <v>172100</v>
      </c>
      <c r="F422" s="96">
        <f>F423+F445</f>
        <v>172100</v>
      </c>
      <c r="G422" s="103"/>
    </row>
    <row r="423" spans="1:7" ht="54" customHeight="1" x14ac:dyDescent="0.2">
      <c r="A423" s="52" t="s">
        <v>68</v>
      </c>
      <c r="B423" s="30"/>
      <c r="C423" s="46" t="s">
        <v>165</v>
      </c>
      <c r="D423" s="93">
        <f>D424</f>
        <v>202607.6</v>
      </c>
      <c r="E423" s="93">
        <f t="shared" ref="E423:F423" si="133">E424</f>
        <v>141596.4</v>
      </c>
      <c r="F423" s="93">
        <f t="shared" si="133"/>
        <v>141652.9</v>
      </c>
      <c r="G423" s="103"/>
    </row>
    <row r="424" spans="1:7" ht="38.25" x14ac:dyDescent="0.2">
      <c r="A424" s="21" t="s">
        <v>295</v>
      </c>
      <c r="B424" s="30"/>
      <c r="C424" s="97" t="s">
        <v>306</v>
      </c>
      <c r="D424" s="93">
        <f>D425+D427+D429+D431+D433+D435+D437+D439+D441+D443</f>
        <v>202607.6</v>
      </c>
      <c r="E424" s="93">
        <f t="shared" ref="E424:F424" si="134">E425+E427+E429+E431+E433+E435+E437+E439+E441+E443</f>
        <v>141596.4</v>
      </c>
      <c r="F424" s="93">
        <f t="shared" si="134"/>
        <v>141652.9</v>
      </c>
      <c r="G424" s="103"/>
    </row>
    <row r="425" spans="1:7" ht="76.5" x14ac:dyDescent="0.2">
      <c r="A425" s="74">
        <v>910123405</v>
      </c>
      <c r="B425" s="30"/>
      <c r="C425" s="97" t="s">
        <v>294</v>
      </c>
      <c r="D425" s="39">
        <f>D426</f>
        <v>15159.4</v>
      </c>
      <c r="E425" s="39">
        <f>E426</f>
        <v>15386.8</v>
      </c>
      <c r="F425" s="39">
        <f>F426</f>
        <v>16489.8</v>
      </c>
      <c r="G425" s="103"/>
    </row>
    <row r="426" spans="1:7" ht="38.25" x14ac:dyDescent="0.2">
      <c r="A426" s="74">
        <v>910123405</v>
      </c>
      <c r="B426" s="82" t="s">
        <v>211</v>
      </c>
      <c r="C426" s="98" t="s">
        <v>212</v>
      </c>
      <c r="D426" s="39">
        <f>15759.4-600</f>
        <v>15159.4</v>
      </c>
      <c r="E426" s="39">
        <v>15386.8</v>
      </c>
      <c r="F426" s="39">
        <v>16489.8</v>
      </c>
    </row>
    <row r="427" spans="1:7" ht="63.75" x14ac:dyDescent="0.2">
      <c r="A427" s="74">
        <v>910110520</v>
      </c>
      <c r="B427" s="30"/>
      <c r="C427" s="97" t="s">
        <v>184</v>
      </c>
      <c r="D427" s="39">
        <f>D428</f>
        <v>25070.9</v>
      </c>
      <c r="E427" s="39">
        <f>E428</f>
        <v>26073.7</v>
      </c>
      <c r="F427" s="39">
        <f>F428</f>
        <v>27116.6</v>
      </c>
      <c r="G427" s="103"/>
    </row>
    <row r="428" spans="1:7" ht="38.25" x14ac:dyDescent="0.2">
      <c r="A428" s="74">
        <v>910110520</v>
      </c>
      <c r="B428" s="82" t="s">
        <v>211</v>
      </c>
      <c r="C428" s="98" t="s">
        <v>212</v>
      </c>
      <c r="D428" s="1">
        <v>25070.9</v>
      </c>
      <c r="E428" s="39">
        <v>26073.7</v>
      </c>
      <c r="F428" s="1">
        <v>27116.6</v>
      </c>
      <c r="G428" s="103"/>
    </row>
    <row r="429" spans="1:7" ht="25.5" x14ac:dyDescent="0.2">
      <c r="A429" s="74">
        <v>910123410</v>
      </c>
      <c r="B429" s="16"/>
      <c r="C429" s="98" t="s">
        <v>185</v>
      </c>
      <c r="D429" s="39">
        <f>D430</f>
        <v>22596.1</v>
      </c>
      <c r="E429" s="39">
        <f>E430</f>
        <v>21684.6</v>
      </c>
      <c r="F429" s="39">
        <f>F430</f>
        <v>16457</v>
      </c>
      <c r="G429" s="103"/>
    </row>
    <row r="430" spans="1:7" ht="38.25" x14ac:dyDescent="0.2">
      <c r="A430" s="74">
        <v>910123410</v>
      </c>
      <c r="B430" s="82" t="s">
        <v>211</v>
      </c>
      <c r="C430" s="98" t="s">
        <v>212</v>
      </c>
      <c r="D430" s="39">
        <f>25695.2-535.4-2563.7</f>
        <v>22596.1</v>
      </c>
      <c r="E430" s="39">
        <v>21684.6</v>
      </c>
      <c r="F430" s="39">
        <v>16457</v>
      </c>
    </row>
    <row r="431" spans="1:7" ht="89.25" x14ac:dyDescent="0.2">
      <c r="A431" s="74">
        <v>910123415</v>
      </c>
      <c r="B431" s="82"/>
      <c r="C431" s="130" t="s">
        <v>724</v>
      </c>
      <c r="D431" s="39">
        <f>D432</f>
        <v>2260.8000000000002</v>
      </c>
      <c r="E431" s="39">
        <f t="shared" ref="E431:F431" si="135">E432</f>
        <v>0</v>
      </c>
      <c r="F431" s="39">
        <f t="shared" si="135"/>
        <v>0</v>
      </c>
    </row>
    <row r="432" spans="1:7" ht="38.25" x14ac:dyDescent="0.2">
      <c r="A432" s="74">
        <v>910123415</v>
      </c>
      <c r="B432" s="82" t="s">
        <v>211</v>
      </c>
      <c r="C432" s="98" t="s">
        <v>212</v>
      </c>
      <c r="D432" s="39">
        <f>2250+10.8</f>
        <v>2260.8000000000002</v>
      </c>
      <c r="E432" s="39">
        <v>0</v>
      </c>
      <c r="F432" s="39">
        <v>0</v>
      </c>
    </row>
    <row r="433" spans="1:7" ht="51" x14ac:dyDescent="0.2">
      <c r="A433" s="74" t="s">
        <v>346</v>
      </c>
      <c r="B433" s="82"/>
      <c r="C433" s="123" t="s">
        <v>345</v>
      </c>
      <c r="D433" s="39">
        <f>D434</f>
        <v>1450.1999999999998</v>
      </c>
      <c r="E433" s="39">
        <f>E434</f>
        <v>1267.4000000000001</v>
      </c>
      <c r="F433" s="39">
        <f>F434</f>
        <v>1318.2</v>
      </c>
    </row>
    <row r="434" spans="1:7" ht="38.25" x14ac:dyDescent="0.2">
      <c r="A434" s="74" t="s">
        <v>346</v>
      </c>
      <c r="B434" s="82" t="s">
        <v>211</v>
      </c>
      <c r="C434" s="98" t="s">
        <v>212</v>
      </c>
      <c r="D434" s="227">
        <f>1218.7+452.9+200-714.5+293.1</f>
        <v>1450.1999999999998</v>
      </c>
      <c r="E434" s="39">
        <v>1267.4000000000001</v>
      </c>
      <c r="F434" s="39">
        <v>1318.2</v>
      </c>
    </row>
    <row r="435" spans="1:7" ht="51" x14ac:dyDescent="0.2">
      <c r="A435" s="137" t="s">
        <v>509</v>
      </c>
      <c r="B435" s="82"/>
      <c r="C435" s="123" t="s">
        <v>347</v>
      </c>
      <c r="D435" s="39">
        <f>D436</f>
        <v>8031.9</v>
      </c>
      <c r="E435" s="39">
        <f>E436</f>
        <v>11406.7</v>
      </c>
      <c r="F435" s="39">
        <f>F436</f>
        <v>11863</v>
      </c>
    </row>
    <row r="436" spans="1:7" ht="38.25" x14ac:dyDescent="0.2">
      <c r="A436" s="137" t="s">
        <v>509</v>
      </c>
      <c r="B436" s="82" t="s">
        <v>211</v>
      </c>
      <c r="C436" s="98" t="s">
        <v>212</v>
      </c>
      <c r="D436" s="39">
        <f>10968-2936.1</f>
        <v>8031.9</v>
      </c>
      <c r="E436" s="39">
        <v>11406.7</v>
      </c>
      <c r="F436" s="39">
        <v>11863</v>
      </c>
    </row>
    <row r="437" spans="1:7" ht="25.5" x14ac:dyDescent="0.2">
      <c r="A437" s="74" t="s">
        <v>342</v>
      </c>
      <c r="B437" s="82"/>
      <c r="C437" s="98" t="s">
        <v>343</v>
      </c>
      <c r="D437" s="39">
        <f>D438</f>
        <v>13904.5</v>
      </c>
      <c r="E437" s="39">
        <f>E438</f>
        <v>6577.7</v>
      </c>
      <c r="F437" s="39">
        <f>F438</f>
        <v>6840.8</v>
      </c>
    </row>
    <row r="438" spans="1:7" ht="38.25" x14ac:dyDescent="0.2">
      <c r="A438" s="74" t="s">
        <v>342</v>
      </c>
      <c r="B438" s="82" t="s">
        <v>211</v>
      </c>
      <c r="C438" s="98" t="s">
        <v>212</v>
      </c>
      <c r="D438" s="39">
        <f>8777.9+6107.5-980.9</f>
        <v>13904.5</v>
      </c>
      <c r="E438" s="39">
        <v>6577.7</v>
      </c>
      <c r="F438" s="39">
        <v>6840.8</v>
      </c>
    </row>
    <row r="439" spans="1:7" ht="25.5" x14ac:dyDescent="0.2">
      <c r="A439" s="139" t="s">
        <v>510</v>
      </c>
      <c r="B439" s="82"/>
      <c r="C439" s="98" t="s">
        <v>344</v>
      </c>
      <c r="D439" s="39">
        <f>D440</f>
        <v>101125.1</v>
      </c>
      <c r="E439" s="39">
        <f>E440</f>
        <v>59199.5</v>
      </c>
      <c r="F439" s="39">
        <f>F440</f>
        <v>61567.5</v>
      </c>
    </row>
    <row r="440" spans="1:7" ht="38.25" x14ac:dyDescent="0.2">
      <c r="A440" s="139" t="s">
        <v>510</v>
      </c>
      <c r="B440" s="82" t="s">
        <v>211</v>
      </c>
      <c r="C440" s="98" t="s">
        <v>212</v>
      </c>
      <c r="D440" s="39">
        <f>58435.7+42689.4</f>
        <v>101125.1</v>
      </c>
      <c r="E440" s="1">
        <v>59199.5</v>
      </c>
      <c r="F440" s="1">
        <v>61567.5</v>
      </c>
    </row>
    <row r="441" spans="1:7" ht="25.5" x14ac:dyDescent="0.2">
      <c r="A441" s="74">
        <v>910123425</v>
      </c>
      <c r="B441" s="82"/>
      <c r="C441" s="98" t="s">
        <v>373</v>
      </c>
      <c r="D441" s="39">
        <f>D442</f>
        <v>10160.299999999999</v>
      </c>
      <c r="E441" s="39">
        <f>E442</f>
        <v>0</v>
      </c>
      <c r="F441" s="39">
        <f>F442</f>
        <v>0</v>
      </c>
    </row>
    <row r="442" spans="1:7" ht="38.25" x14ac:dyDescent="0.2">
      <c r="A442" s="74">
        <v>910123425</v>
      </c>
      <c r="B442" s="82" t="s">
        <v>211</v>
      </c>
      <c r="C442" s="98" t="s">
        <v>212</v>
      </c>
      <c r="D442" s="39">
        <f>2448.7+5498.9+3253.7-1041</f>
        <v>10160.299999999999</v>
      </c>
      <c r="E442" s="39">
        <v>0</v>
      </c>
      <c r="F442" s="39">
        <v>0</v>
      </c>
    </row>
    <row r="443" spans="1:7" x14ac:dyDescent="0.2">
      <c r="A443" s="74">
        <v>910123430</v>
      </c>
      <c r="B443" s="82"/>
      <c r="C443" s="98" t="s">
        <v>723</v>
      </c>
      <c r="D443" s="39">
        <f>D444</f>
        <v>2848.4</v>
      </c>
      <c r="E443" s="39">
        <f>E444</f>
        <v>0</v>
      </c>
      <c r="F443" s="39">
        <f>F444</f>
        <v>0</v>
      </c>
    </row>
    <row r="444" spans="1:7" ht="38.25" x14ac:dyDescent="0.2">
      <c r="A444" s="74">
        <v>910123430</v>
      </c>
      <c r="B444" s="82" t="s">
        <v>211</v>
      </c>
      <c r="C444" s="98" t="s">
        <v>212</v>
      </c>
      <c r="D444" s="39">
        <f>667.9+2800-667.9+48.4</f>
        <v>2848.4</v>
      </c>
      <c r="E444" s="39">
        <v>0</v>
      </c>
      <c r="F444" s="39">
        <v>0</v>
      </c>
    </row>
    <row r="445" spans="1:7" ht="63.75" x14ac:dyDescent="0.2">
      <c r="A445" s="52" t="s">
        <v>214</v>
      </c>
      <c r="B445" s="30"/>
      <c r="C445" s="46" t="s">
        <v>186</v>
      </c>
      <c r="D445" s="93">
        <f>D446</f>
        <v>31217.7</v>
      </c>
      <c r="E445" s="93">
        <f t="shared" ref="E445:F445" si="136">E446</f>
        <v>30503.600000000002</v>
      </c>
      <c r="F445" s="93">
        <f t="shared" si="136"/>
        <v>30447.100000000002</v>
      </c>
    </row>
    <row r="446" spans="1:7" ht="25.5" x14ac:dyDescent="0.2">
      <c r="A446" s="74">
        <v>920100000</v>
      </c>
      <c r="B446" s="30"/>
      <c r="C446" s="97" t="s">
        <v>296</v>
      </c>
      <c r="D446" s="39">
        <f>D447+D449+D451+D453+D455</f>
        <v>31217.7</v>
      </c>
      <c r="E446" s="39">
        <f t="shared" ref="E446:F446" si="137">E447+E449+E451+E453+E455</f>
        <v>30503.600000000002</v>
      </c>
      <c r="F446" s="39">
        <f t="shared" si="137"/>
        <v>30447.100000000002</v>
      </c>
    </row>
    <row r="447" spans="1:7" ht="63.75" x14ac:dyDescent="0.2">
      <c r="A447" s="74" t="s">
        <v>304</v>
      </c>
      <c r="B447" s="30"/>
      <c r="C447" s="97" t="s">
        <v>215</v>
      </c>
      <c r="D447" s="39">
        <f>D448</f>
        <v>5040</v>
      </c>
      <c r="E447" s="39">
        <f>E448</f>
        <v>5055.2</v>
      </c>
      <c r="F447" s="39">
        <f>F448</f>
        <v>5054.8999999999996</v>
      </c>
      <c r="G447" s="103"/>
    </row>
    <row r="448" spans="1:7" ht="38.25" x14ac:dyDescent="0.2">
      <c r="A448" s="74" t="s">
        <v>304</v>
      </c>
      <c r="B448" s="82" t="s">
        <v>211</v>
      </c>
      <c r="C448" s="98" t="s">
        <v>212</v>
      </c>
      <c r="D448" s="39">
        <v>5040</v>
      </c>
      <c r="E448" s="39">
        <v>5055.2</v>
      </c>
      <c r="F448" s="39">
        <v>5054.8999999999996</v>
      </c>
    </row>
    <row r="449" spans="1:6" ht="51" x14ac:dyDescent="0.2">
      <c r="A449" s="74">
        <v>920110300</v>
      </c>
      <c r="B449" s="16"/>
      <c r="C449" s="97" t="s">
        <v>648</v>
      </c>
      <c r="D449" s="39">
        <f>D450</f>
        <v>20160.099999999999</v>
      </c>
      <c r="E449" s="39">
        <f>E450</f>
        <v>20220.7</v>
      </c>
      <c r="F449" s="39">
        <f>F450</f>
        <v>20219.5</v>
      </c>
    </row>
    <row r="450" spans="1:6" ht="38.25" x14ac:dyDescent="0.2">
      <c r="A450" s="74">
        <v>920110300</v>
      </c>
      <c r="B450" s="82" t="s">
        <v>211</v>
      </c>
      <c r="C450" s="98" t="s">
        <v>212</v>
      </c>
      <c r="D450" s="39">
        <v>20160.099999999999</v>
      </c>
      <c r="E450" s="39">
        <v>20220.7</v>
      </c>
      <c r="F450" s="39">
        <v>20219.5</v>
      </c>
    </row>
    <row r="451" spans="1:6" ht="51" x14ac:dyDescent="0.2">
      <c r="A451" s="74">
        <v>920123485</v>
      </c>
      <c r="B451" s="82"/>
      <c r="C451" s="54" t="s">
        <v>668</v>
      </c>
      <c r="D451" s="39">
        <f>D452</f>
        <v>3361.4</v>
      </c>
      <c r="E451" s="39">
        <f t="shared" ref="E451:F451" si="138">E452</f>
        <v>1413.8</v>
      </c>
      <c r="F451" s="39">
        <f t="shared" si="138"/>
        <v>1413.8</v>
      </c>
    </row>
    <row r="452" spans="1:6" ht="38.25" x14ac:dyDescent="0.2">
      <c r="A452" s="74">
        <v>920123485</v>
      </c>
      <c r="B452" s="82" t="s">
        <v>211</v>
      </c>
      <c r="C452" s="98" t="s">
        <v>212</v>
      </c>
      <c r="D452" s="220">
        <f>1413.8+979.2+314.5+310.6+343.3</f>
        <v>3361.4</v>
      </c>
      <c r="E452" s="39">
        <v>1413.8</v>
      </c>
      <c r="F452" s="39">
        <v>1413.8</v>
      </c>
    </row>
    <row r="453" spans="1:6" ht="52.5" customHeight="1" x14ac:dyDescent="0.2">
      <c r="A453" s="74">
        <v>920123490</v>
      </c>
      <c r="B453" s="82"/>
      <c r="C453" s="54" t="s">
        <v>512</v>
      </c>
      <c r="D453" s="39">
        <f>D454</f>
        <v>0</v>
      </c>
      <c r="E453" s="39">
        <f>E454</f>
        <v>55</v>
      </c>
      <c r="F453" s="39">
        <f>F454</f>
        <v>0</v>
      </c>
    </row>
    <row r="454" spans="1:6" ht="38.25" x14ac:dyDescent="0.2">
      <c r="A454" s="74">
        <v>920123490</v>
      </c>
      <c r="B454" s="82" t="s">
        <v>211</v>
      </c>
      <c r="C454" s="98" t="s">
        <v>212</v>
      </c>
      <c r="D454" s="39">
        <v>0</v>
      </c>
      <c r="E454" s="39">
        <v>55</v>
      </c>
      <c r="F454" s="39">
        <v>0</v>
      </c>
    </row>
    <row r="455" spans="1:6" ht="63.75" x14ac:dyDescent="0.2">
      <c r="A455" s="74">
        <v>920123495</v>
      </c>
      <c r="B455" s="82"/>
      <c r="C455" s="54" t="s">
        <v>561</v>
      </c>
      <c r="D455" s="39">
        <f>D456</f>
        <v>2656.2</v>
      </c>
      <c r="E455" s="39">
        <f>E456</f>
        <v>3758.9</v>
      </c>
      <c r="F455" s="39">
        <f>F456</f>
        <v>3758.9</v>
      </c>
    </row>
    <row r="456" spans="1:6" ht="38.25" x14ac:dyDescent="0.2">
      <c r="A456" s="74">
        <v>920123495</v>
      </c>
      <c r="B456" s="82" t="s">
        <v>211</v>
      </c>
      <c r="C456" s="98" t="s">
        <v>212</v>
      </c>
      <c r="D456" s="39">
        <f>2500+156.2</f>
        <v>2656.2</v>
      </c>
      <c r="E456" s="39">
        <v>3758.9</v>
      </c>
      <c r="F456" s="39">
        <v>3758.9</v>
      </c>
    </row>
    <row r="457" spans="1:6" ht="77.25" customHeight="1" x14ac:dyDescent="0.2">
      <c r="A457" s="73" t="s">
        <v>71</v>
      </c>
      <c r="B457" s="16"/>
      <c r="C457" s="53" t="s">
        <v>582</v>
      </c>
      <c r="D457" s="96">
        <f>D458+D462+D468</f>
        <v>114</v>
      </c>
      <c r="E457" s="96">
        <f t="shared" ref="E457:F457" si="139">E458+E462+E468</f>
        <v>84</v>
      </c>
      <c r="F457" s="96">
        <f t="shared" si="139"/>
        <v>84</v>
      </c>
    </row>
    <row r="458" spans="1:6" ht="51" x14ac:dyDescent="0.2">
      <c r="A458" s="52" t="s">
        <v>72</v>
      </c>
      <c r="B458" s="16"/>
      <c r="C458" s="60" t="s">
        <v>187</v>
      </c>
      <c r="D458" s="58">
        <f t="shared" ref="D458:F459" si="140">D459</f>
        <v>34</v>
      </c>
      <c r="E458" s="58">
        <f t="shared" si="140"/>
        <v>34</v>
      </c>
      <c r="F458" s="58">
        <f t="shared" si="140"/>
        <v>34</v>
      </c>
    </row>
    <row r="459" spans="1:6" ht="38.25" x14ac:dyDescent="0.2">
      <c r="A459" s="21" t="s">
        <v>226</v>
      </c>
      <c r="B459" s="82"/>
      <c r="C459" s="98" t="s">
        <v>337</v>
      </c>
      <c r="D459" s="41">
        <f>D460</f>
        <v>34</v>
      </c>
      <c r="E459" s="41">
        <f t="shared" si="140"/>
        <v>34</v>
      </c>
      <c r="F459" s="41">
        <f t="shared" si="140"/>
        <v>34</v>
      </c>
    </row>
    <row r="460" spans="1:6" ht="63.75" x14ac:dyDescent="0.2">
      <c r="A460" s="21" t="s">
        <v>513</v>
      </c>
      <c r="B460" s="16"/>
      <c r="C460" s="98" t="s">
        <v>338</v>
      </c>
      <c r="D460" s="41">
        <f>D461</f>
        <v>34</v>
      </c>
      <c r="E460" s="41">
        <f>E461</f>
        <v>34</v>
      </c>
      <c r="F460" s="41">
        <f>F461</f>
        <v>34</v>
      </c>
    </row>
    <row r="461" spans="1:6" ht="25.5" x14ac:dyDescent="0.2">
      <c r="A461" s="21" t="s">
        <v>513</v>
      </c>
      <c r="B461" s="82" t="s">
        <v>64</v>
      </c>
      <c r="C461" s="55" t="s">
        <v>130</v>
      </c>
      <c r="D461" s="41">
        <v>34</v>
      </c>
      <c r="E461" s="41">
        <v>34</v>
      </c>
      <c r="F461" s="41">
        <v>34</v>
      </c>
    </row>
    <row r="462" spans="1:6" ht="63.75" x14ac:dyDescent="0.2">
      <c r="A462" s="52" t="s">
        <v>514</v>
      </c>
      <c r="B462" s="16"/>
      <c r="C462" s="48" t="s">
        <v>179</v>
      </c>
      <c r="D462" s="93">
        <f>D463</f>
        <v>40</v>
      </c>
      <c r="E462" s="93">
        <f t="shared" ref="E462:F462" si="141">E463</f>
        <v>50</v>
      </c>
      <c r="F462" s="93">
        <f t="shared" si="141"/>
        <v>50</v>
      </c>
    </row>
    <row r="463" spans="1:6" ht="51" x14ac:dyDescent="0.2">
      <c r="A463" s="21" t="s">
        <v>515</v>
      </c>
      <c r="B463" s="16"/>
      <c r="C463" s="99" t="s">
        <v>312</v>
      </c>
      <c r="D463" s="39">
        <f>D464+D466</f>
        <v>40</v>
      </c>
      <c r="E463" s="39">
        <f>E464+E466</f>
        <v>50</v>
      </c>
      <c r="F463" s="39">
        <f>F464+F466</f>
        <v>50</v>
      </c>
    </row>
    <row r="464" spans="1:6" ht="77.25" customHeight="1" x14ac:dyDescent="0.2">
      <c r="A464" s="74">
        <v>1020123085</v>
      </c>
      <c r="B464" s="16"/>
      <c r="C464" s="98" t="s">
        <v>180</v>
      </c>
      <c r="D464" s="41">
        <f>D465</f>
        <v>5</v>
      </c>
      <c r="E464" s="41">
        <f>E465</f>
        <v>5</v>
      </c>
      <c r="F464" s="41">
        <f>F465</f>
        <v>5</v>
      </c>
    </row>
    <row r="465" spans="1:6" ht="38.25" x14ac:dyDescent="0.2">
      <c r="A465" s="74">
        <v>1020123085</v>
      </c>
      <c r="B465" s="82" t="s">
        <v>211</v>
      </c>
      <c r="C465" s="98" t="s">
        <v>212</v>
      </c>
      <c r="D465" s="41">
        <v>5</v>
      </c>
      <c r="E465" s="41">
        <v>5</v>
      </c>
      <c r="F465" s="41">
        <v>5</v>
      </c>
    </row>
    <row r="466" spans="1:6" x14ac:dyDescent="0.2">
      <c r="A466" s="74">
        <v>1020123086</v>
      </c>
      <c r="B466" s="16"/>
      <c r="C466" s="98" t="s">
        <v>181</v>
      </c>
      <c r="D466" s="41">
        <f>D467</f>
        <v>35</v>
      </c>
      <c r="E466" s="41">
        <f>E467</f>
        <v>45</v>
      </c>
      <c r="F466" s="41">
        <f>F467</f>
        <v>45</v>
      </c>
    </row>
    <row r="467" spans="1:6" ht="38.25" x14ac:dyDescent="0.2">
      <c r="A467" s="74">
        <v>1020123086</v>
      </c>
      <c r="B467" s="82" t="s">
        <v>211</v>
      </c>
      <c r="C467" s="98" t="s">
        <v>212</v>
      </c>
      <c r="D467" s="41">
        <v>35</v>
      </c>
      <c r="E467" s="41">
        <v>45</v>
      </c>
      <c r="F467" s="41">
        <v>45</v>
      </c>
    </row>
    <row r="468" spans="1:6" ht="53.25" customHeight="1" x14ac:dyDescent="0.2">
      <c r="A468" s="52" t="s">
        <v>613</v>
      </c>
      <c r="B468" s="82"/>
      <c r="C468" s="60" t="s">
        <v>631</v>
      </c>
      <c r="D468" s="93">
        <f>D469</f>
        <v>40</v>
      </c>
      <c r="E468" s="93">
        <f t="shared" ref="E468:F469" si="142">E469</f>
        <v>0</v>
      </c>
      <c r="F468" s="93">
        <f t="shared" si="142"/>
        <v>0</v>
      </c>
    </row>
    <row r="469" spans="1:6" ht="30" customHeight="1" x14ac:dyDescent="0.2">
      <c r="A469" s="74">
        <v>1030300000</v>
      </c>
      <c r="B469" s="82"/>
      <c r="C469" s="98" t="s">
        <v>615</v>
      </c>
      <c r="D469" s="41">
        <f>D470</f>
        <v>40</v>
      </c>
      <c r="E469" s="41">
        <f t="shared" si="142"/>
        <v>0</v>
      </c>
      <c r="F469" s="41">
        <f t="shared" si="142"/>
        <v>0</v>
      </c>
    </row>
    <row r="470" spans="1:6" ht="38.25" x14ac:dyDescent="0.2">
      <c r="A470" s="74">
        <v>1030323090</v>
      </c>
      <c r="B470" s="82"/>
      <c r="C470" s="98" t="s">
        <v>614</v>
      </c>
      <c r="D470" s="41">
        <f>D471</f>
        <v>40</v>
      </c>
      <c r="E470" s="41">
        <f t="shared" ref="E470:F470" si="143">E471</f>
        <v>0</v>
      </c>
      <c r="F470" s="41">
        <f t="shared" si="143"/>
        <v>0</v>
      </c>
    </row>
    <row r="471" spans="1:6" ht="38.25" x14ac:dyDescent="0.2">
      <c r="A471" s="74">
        <v>1030323090</v>
      </c>
      <c r="B471" s="82" t="s">
        <v>211</v>
      </c>
      <c r="C471" s="98" t="s">
        <v>212</v>
      </c>
      <c r="D471" s="41">
        <v>40</v>
      </c>
      <c r="E471" s="41">
        <v>0</v>
      </c>
      <c r="F471" s="41">
        <v>0</v>
      </c>
    </row>
    <row r="472" spans="1:6" ht="90" customHeight="1" x14ac:dyDescent="0.25">
      <c r="A472" s="73" t="s">
        <v>50</v>
      </c>
      <c r="B472" s="16"/>
      <c r="C472" s="64" t="s">
        <v>583</v>
      </c>
      <c r="D472" s="59">
        <f>D473+D479+D484+D490</f>
        <v>2878</v>
      </c>
      <c r="E472" s="59">
        <f>E473+E479+E484+E490</f>
        <v>1500</v>
      </c>
      <c r="F472" s="59">
        <f>F473+F479+F484+F490</f>
        <v>1500</v>
      </c>
    </row>
    <row r="473" spans="1:6" ht="51" x14ac:dyDescent="0.2">
      <c r="A473" s="52" t="s">
        <v>51</v>
      </c>
      <c r="B473" s="16"/>
      <c r="C473" s="48" t="s">
        <v>203</v>
      </c>
      <c r="D473" s="93">
        <f>D475+D477</f>
        <v>143.5</v>
      </c>
      <c r="E473" s="93">
        <f>E475+E477</f>
        <v>80</v>
      </c>
      <c r="F473" s="93">
        <f>F475+F477</f>
        <v>80</v>
      </c>
    </row>
    <row r="474" spans="1:6" ht="63.75" x14ac:dyDescent="0.2">
      <c r="A474" s="21" t="s">
        <v>218</v>
      </c>
      <c r="B474" s="16"/>
      <c r="C474" s="99" t="s">
        <v>292</v>
      </c>
      <c r="D474" s="39">
        <f>D475+D477</f>
        <v>143.5</v>
      </c>
      <c r="E474" s="39">
        <f t="shared" ref="E474:F474" si="144">E475+E477</f>
        <v>80</v>
      </c>
      <c r="F474" s="39">
        <f t="shared" si="144"/>
        <v>80</v>
      </c>
    </row>
    <row r="475" spans="1:6" ht="25.5" x14ac:dyDescent="0.2">
      <c r="A475" s="74">
        <v>1110123305</v>
      </c>
      <c r="B475" s="16"/>
      <c r="C475" s="99" t="s">
        <v>217</v>
      </c>
      <c r="D475" s="39">
        <f>D476</f>
        <v>100.1</v>
      </c>
      <c r="E475" s="39">
        <f>E476</f>
        <v>40</v>
      </c>
      <c r="F475" s="39">
        <f>F476</f>
        <v>40</v>
      </c>
    </row>
    <row r="476" spans="1:6" ht="38.25" x14ac:dyDescent="0.2">
      <c r="A476" s="74">
        <v>1110123305</v>
      </c>
      <c r="B476" s="82" t="s">
        <v>211</v>
      </c>
      <c r="C476" s="98" t="s">
        <v>212</v>
      </c>
      <c r="D476" s="39">
        <f>40+63.5-3.4</f>
        <v>100.1</v>
      </c>
      <c r="E476" s="39">
        <v>40</v>
      </c>
      <c r="F476" s="39">
        <v>40</v>
      </c>
    </row>
    <row r="477" spans="1:6" ht="51" x14ac:dyDescent="0.2">
      <c r="A477" s="74">
        <v>1110123310</v>
      </c>
      <c r="B477" s="16"/>
      <c r="C477" s="99" t="s">
        <v>205</v>
      </c>
      <c r="D477" s="41">
        <f>D478</f>
        <v>43.4</v>
      </c>
      <c r="E477" s="41">
        <f>E478</f>
        <v>40</v>
      </c>
      <c r="F477" s="41">
        <f>F478</f>
        <v>40</v>
      </c>
    </row>
    <row r="478" spans="1:6" ht="38.25" x14ac:dyDescent="0.2">
      <c r="A478" s="74">
        <v>1110123310</v>
      </c>
      <c r="B478" s="82" t="s">
        <v>211</v>
      </c>
      <c r="C478" s="98" t="s">
        <v>212</v>
      </c>
      <c r="D478" s="39">
        <f>40+3.4</f>
        <v>43.4</v>
      </c>
      <c r="E478" s="39">
        <v>40</v>
      </c>
      <c r="F478" s="39">
        <v>40</v>
      </c>
    </row>
    <row r="479" spans="1:6" ht="38.25" x14ac:dyDescent="0.2">
      <c r="A479" s="52" t="s">
        <v>52</v>
      </c>
      <c r="B479" s="82"/>
      <c r="C479" s="48" t="s">
        <v>199</v>
      </c>
      <c r="D479" s="41">
        <f t="shared" ref="D479:F480" si="145">D480</f>
        <v>2709.5</v>
      </c>
      <c r="E479" s="41">
        <f t="shared" si="145"/>
        <v>1400</v>
      </c>
      <c r="F479" s="41">
        <f t="shared" si="145"/>
        <v>1400</v>
      </c>
    </row>
    <row r="480" spans="1:6" ht="51" x14ac:dyDescent="0.2">
      <c r="A480" s="21" t="s">
        <v>219</v>
      </c>
      <c r="B480" s="82"/>
      <c r="C480" s="99" t="s">
        <v>303</v>
      </c>
      <c r="D480" s="41">
        <f t="shared" si="145"/>
        <v>2709.5</v>
      </c>
      <c r="E480" s="41">
        <f t="shared" si="145"/>
        <v>1400</v>
      </c>
      <c r="F480" s="41">
        <f t="shared" si="145"/>
        <v>1400</v>
      </c>
    </row>
    <row r="481" spans="1:7" ht="38.25" x14ac:dyDescent="0.2">
      <c r="A481" s="74">
        <v>1120123315</v>
      </c>
      <c r="B481" s="16"/>
      <c r="C481" s="98" t="s">
        <v>516</v>
      </c>
      <c r="D481" s="41">
        <f>SUM(D482:D483)</f>
        <v>2709.5</v>
      </c>
      <c r="E481" s="41">
        <f>SUM(E482:E483)</f>
        <v>1400</v>
      </c>
      <c r="F481" s="41">
        <f>SUM(F482:F483)</f>
        <v>1400</v>
      </c>
    </row>
    <row r="482" spans="1:7" ht="25.5" x14ac:dyDescent="0.2">
      <c r="A482" s="74">
        <v>1120123315</v>
      </c>
      <c r="B482" s="82" t="s">
        <v>64</v>
      </c>
      <c r="C482" s="55" t="s">
        <v>130</v>
      </c>
      <c r="D482" s="41">
        <v>118</v>
      </c>
      <c r="E482" s="41">
        <v>51.2</v>
      </c>
      <c r="F482" s="41">
        <v>51.2</v>
      </c>
    </row>
    <row r="483" spans="1:7" ht="38.25" x14ac:dyDescent="0.2">
      <c r="A483" s="74">
        <v>1120123315</v>
      </c>
      <c r="B483" s="82" t="s">
        <v>211</v>
      </c>
      <c r="C483" s="98" t="s">
        <v>212</v>
      </c>
      <c r="D483" s="41">
        <f>2147.1+444.4</f>
        <v>2591.5</v>
      </c>
      <c r="E483" s="41">
        <v>1348.8</v>
      </c>
      <c r="F483" s="41">
        <v>1348.8</v>
      </c>
    </row>
    <row r="484" spans="1:7" ht="39" customHeight="1" x14ac:dyDescent="0.2">
      <c r="A484" s="52" t="s">
        <v>53</v>
      </c>
      <c r="B484" s="16"/>
      <c r="C484" s="48" t="s">
        <v>250</v>
      </c>
      <c r="D484" s="93">
        <f>D485</f>
        <v>10</v>
      </c>
      <c r="E484" s="93">
        <f>E485</f>
        <v>5</v>
      </c>
      <c r="F484" s="93">
        <f>F485</f>
        <v>5</v>
      </c>
    </row>
    <row r="485" spans="1:7" ht="63.75" x14ac:dyDescent="0.2">
      <c r="A485" s="21" t="s">
        <v>220</v>
      </c>
      <c r="B485" s="16"/>
      <c r="C485" s="99" t="s">
        <v>311</v>
      </c>
      <c r="D485" s="39">
        <f>D486+D488</f>
        <v>10</v>
      </c>
      <c r="E485" s="39">
        <f>E486+E488</f>
        <v>5</v>
      </c>
      <c r="F485" s="39">
        <f>F486+F488</f>
        <v>5</v>
      </c>
    </row>
    <row r="486" spans="1:7" ht="25.5" x14ac:dyDescent="0.2">
      <c r="A486" s="74">
        <v>1130123320</v>
      </c>
      <c r="B486" s="16"/>
      <c r="C486" s="98" t="s">
        <v>251</v>
      </c>
      <c r="D486" s="41">
        <f>D487</f>
        <v>7.9</v>
      </c>
      <c r="E486" s="41">
        <f>E487</f>
        <v>4</v>
      </c>
      <c r="F486" s="41">
        <f>F487</f>
        <v>4</v>
      </c>
    </row>
    <row r="487" spans="1:7" ht="38.25" x14ac:dyDescent="0.2">
      <c r="A487" s="74">
        <v>1130123320</v>
      </c>
      <c r="B487" s="82" t="s">
        <v>211</v>
      </c>
      <c r="C487" s="98" t="s">
        <v>212</v>
      </c>
      <c r="D487" s="41">
        <f>8-0.1</f>
        <v>7.9</v>
      </c>
      <c r="E487" s="41">
        <v>4</v>
      </c>
      <c r="F487" s="41">
        <v>4</v>
      </c>
    </row>
    <row r="488" spans="1:7" ht="24" customHeight="1" x14ac:dyDescent="0.2">
      <c r="A488" s="74">
        <v>1130123325</v>
      </c>
      <c r="B488" s="16"/>
      <c r="C488" s="98" t="s">
        <v>221</v>
      </c>
      <c r="D488" s="41">
        <f>D489</f>
        <v>2.1</v>
      </c>
      <c r="E488" s="41">
        <f>E489</f>
        <v>1</v>
      </c>
      <c r="F488" s="41">
        <f>F489</f>
        <v>1</v>
      </c>
    </row>
    <row r="489" spans="1:7" ht="38.25" x14ac:dyDescent="0.2">
      <c r="A489" s="74">
        <v>1130123325</v>
      </c>
      <c r="B489" s="82" t="s">
        <v>211</v>
      </c>
      <c r="C489" s="98" t="s">
        <v>212</v>
      </c>
      <c r="D489" s="41">
        <f>2+0.1</f>
        <v>2.1</v>
      </c>
      <c r="E489" s="41">
        <v>1</v>
      </c>
      <c r="F489" s="41">
        <v>1</v>
      </c>
    </row>
    <row r="490" spans="1:7" ht="51" x14ac:dyDescent="0.2">
      <c r="A490" s="52" t="s">
        <v>54</v>
      </c>
      <c r="B490" s="16"/>
      <c r="C490" s="48" t="s">
        <v>204</v>
      </c>
      <c r="D490" s="93">
        <f>D491</f>
        <v>15</v>
      </c>
      <c r="E490" s="93">
        <f t="shared" ref="E490:F490" si="146">E491</f>
        <v>15</v>
      </c>
      <c r="F490" s="93">
        <f t="shared" si="146"/>
        <v>15</v>
      </c>
    </row>
    <row r="491" spans="1:7" ht="51" x14ac:dyDescent="0.2">
      <c r="A491" s="21" t="s">
        <v>291</v>
      </c>
      <c r="B491" s="82"/>
      <c r="C491" s="98" t="s">
        <v>222</v>
      </c>
      <c r="D491" s="41">
        <f>D492+D494</f>
        <v>15</v>
      </c>
      <c r="E491" s="41">
        <f t="shared" ref="E491:F491" si="147">E492+E494</f>
        <v>15</v>
      </c>
      <c r="F491" s="41">
        <f t="shared" si="147"/>
        <v>15</v>
      </c>
    </row>
    <row r="492" spans="1:7" ht="25.5" x14ac:dyDescent="0.2">
      <c r="A492" s="74">
        <v>1140123330</v>
      </c>
      <c r="B492" s="16"/>
      <c r="C492" s="98" t="s">
        <v>193</v>
      </c>
      <c r="D492" s="41">
        <f>D493</f>
        <v>12</v>
      </c>
      <c r="E492" s="41">
        <f>E493</f>
        <v>12</v>
      </c>
      <c r="F492" s="41">
        <f>F493</f>
        <v>12</v>
      </c>
    </row>
    <row r="493" spans="1:7" ht="38.25" x14ac:dyDescent="0.2">
      <c r="A493" s="74">
        <v>1140123330</v>
      </c>
      <c r="B493" s="82" t="s">
        <v>211</v>
      </c>
      <c r="C493" s="98" t="s">
        <v>212</v>
      </c>
      <c r="D493" s="41">
        <v>12</v>
      </c>
      <c r="E493" s="41">
        <v>12</v>
      </c>
      <c r="F493" s="41">
        <v>12</v>
      </c>
    </row>
    <row r="494" spans="1:7" ht="29.25" customHeight="1" x14ac:dyDescent="0.2">
      <c r="A494" s="74">
        <v>1140123335</v>
      </c>
      <c r="B494" s="16"/>
      <c r="C494" s="98" t="s">
        <v>223</v>
      </c>
      <c r="D494" s="41">
        <f>D495</f>
        <v>3</v>
      </c>
      <c r="E494" s="41">
        <f>E495</f>
        <v>3</v>
      </c>
      <c r="F494" s="41">
        <f>F495</f>
        <v>3</v>
      </c>
    </row>
    <row r="495" spans="1:7" ht="38.25" x14ac:dyDescent="0.2">
      <c r="A495" s="74">
        <v>1140123335</v>
      </c>
      <c r="B495" s="82" t="s">
        <v>211</v>
      </c>
      <c r="C495" s="98" t="s">
        <v>212</v>
      </c>
      <c r="D495" s="41">
        <v>3</v>
      </c>
      <c r="E495" s="41">
        <v>3</v>
      </c>
      <c r="F495" s="41">
        <v>3</v>
      </c>
    </row>
    <row r="496" spans="1:7" ht="77.25" customHeight="1" x14ac:dyDescent="0.2">
      <c r="A496" s="73" t="s">
        <v>55</v>
      </c>
      <c r="B496" s="16"/>
      <c r="C496" s="53" t="s">
        <v>584</v>
      </c>
      <c r="D496" s="96">
        <f>D497+D519+D526+D535</f>
        <v>108224.70000000001</v>
      </c>
      <c r="E496" s="96">
        <f>E497+E519+E526+E535</f>
        <v>30816.5</v>
      </c>
      <c r="F496" s="96">
        <f>F497+F519+F526+F535</f>
        <v>30841.5</v>
      </c>
      <c r="G496" s="103"/>
    </row>
    <row r="497" spans="1:7" ht="38.25" x14ac:dyDescent="0.2">
      <c r="A497" s="52" t="s">
        <v>56</v>
      </c>
      <c r="B497" s="47"/>
      <c r="C497" s="48" t="s">
        <v>649</v>
      </c>
      <c r="D497" s="93">
        <f>D498+D509+D514</f>
        <v>84826.8</v>
      </c>
      <c r="E497" s="93">
        <f t="shared" ref="E497:F497" si="148">E498+E509+E514</f>
        <v>20727</v>
      </c>
      <c r="F497" s="93">
        <f t="shared" si="148"/>
        <v>15527</v>
      </c>
      <c r="G497" s="103"/>
    </row>
    <row r="498" spans="1:7" ht="38.25" x14ac:dyDescent="0.2">
      <c r="A498" s="21" t="s">
        <v>237</v>
      </c>
      <c r="B498" s="47"/>
      <c r="C498" s="99" t="s">
        <v>607</v>
      </c>
      <c r="D498" s="93">
        <f>D499+D501+D503+D505+D507</f>
        <v>23906.6</v>
      </c>
      <c r="E498" s="93">
        <f t="shared" ref="E498:F498" si="149">E499+E501+E503+E505+E507</f>
        <v>14144.9</v>
      </c>
      <c r="F498" s="93">
        <f t="shared" si="149"/>
        <v>8944.9</v>
      </c>
    </row>
    <row r="499" spans="1:7" ht="42" customHeight="1" x14ac:dyDescent="0.2">
      <c r="A499" s="74">
        <v>1210123505</v>
      </c>
      <c r="B499" s="21"/>
      <c r="C499" s="98" t="s">
        <v>517</v>
      </c>
      <c r="D499" s="41">
        <f>D500</f>
        <v>2608.8999999999996</v>
      </c>
      <c r="E499" s="41">
        <f>E500</f>
        <v>0</v>
      </c>
      <c r="F499" s="41">
        <f>F500</f>
        <v>0</v>
      </c>
    </row>
    <row r="500" spans="1:7" ht="38.25" x14ac:dyDescent="0.2">
      <c r="A500" s="74">
        <v>1210123505</v>
      </c>
      <c r="B500" s="82" t="s">
        <v>211</v>
      </c>
      <c r="C500" s="98" t="s">
        <v>212</v>
      </c>
      <c r="D500" s="39">
        <f>1266.2-65.9+22.4+1233+153.2</f>
        <v>2608.8999999999996</v>
      </c>
      <c r="E500" s="39">
        <v>0</v>
      </c>
      <c r="F500" s="39">
        <v>0</v>
      </c>
    </row>
    <row r="501" spans="1:7" ht="63.75" x14ac:dyDescent="0.2">
      <c r="A501" s="74">
        <v>1210123510</v>
      </c>
      <c r="B501" s="21"/>
      <c r="C501" s="98" t="s">
        <v>746</v>
      </c>
      <c r="D501" s="41">
        <f>D502</f>
        <v>574.70000000000005</v>
      </c>
      <c r="E501" s="41">
        <f t="shared" ref="E501:F501" si="150">E502</f>
        <v>0</v>
      </c>
      <c r="F501" s="41">
        <f t="shared" si="150"/>
        <v>0</v>
      </c>
    </row>
    <row r="502" spans="1:7" ht="38.25" x14ac:dyDescent="0.2">
      <c r="A502" s="74">
        <v>1210123510</v>
      </c>
      <c r="B502" s="82" t="s">
        <v>211</v>
      </c>
      <c r="C502" s="98" t="s">
        <v>212</v>
      </c>
      <c r="D502" s="41">
        <v>574.70000000000005</v>
      </c>
      <c r="E502" s="41">
        <v>0</v>
      </c>
      <c r="F502" s="41">
        <v>0</v>
      </c>
    </row>
    <row r="503" spans="1:7" ht="25.5" x14ac:dyDescent="0.2">
      <c r="A503" s="74">
        <v>1210123515</v>
      </c>
      <c r="B503" s="16"/>
      <c r="C503" s="98" t="s">
        <v>765</v>
      </c>
      <c r="D503" s="41">
        <f>D504</f>
        <v>450</v>
      </c>
      <c r="E503" s="41">
        <f t="shared" ref="E503:F503" si="151">E504</f>
        <v>0</v>
      </c>
      <c r="F503" s="41">
        <f t="shared" si="151"/>
        <v>0</v>
      </c>
    </row>
    <row r="504" spans="1:7" ht="38.25" x14ac:dyDescent="0.2">
      <c r="A504" s="74">
        <v>1210123515</v>
      </c>
      <c r="B504" s="82" t="s">
        <v>211</v>
      </c>
      <c r="C504" s="98" t="s">
        <v>212</v>
      </c>
      <c r="D504" s="41">
        <f>400+50</f>
        <v>450</v>
      </c>
      <c r="E504" s="41">
        <v>0</v>
      </c>
      <c r="F504" s="41">
        <v>0</v>
      </c>
    </row>
    <row r="505" spans="1:7" ht="63" customHeight="1" x14ac:dyDescent="0.2">
      <c r="A505" s="74">
        <v>1210121100</v>
      </c>
      <c r="B505" s="21"/>
      <c r="C505" s="98" t="s">
        <v>673</v>
      </c>
      <c r="D505" s="41">
        <f>SUM(D506:D506)</f>
        <v>17226</v>
      </c>
      <c r="E505" s="41">
        <f>SUM(E506:E506)</f>
        <v>14144.9</v>
      </c>
      <c r="F505" s="41">
        <f>SUM(F506:F506)</f>
        <v>8944.9</v>
      </c>
    </row>
    <row r="506" spans="1:7" ht="16.5" customHeight="1" x14ac:dyDescent="0.2">
      <c r="A506" s="74">
        <v>1210121100</v>
      </c>
      <c r="B506" s="21" t="s">
        <v>225</v>
      </c>
      <c r="C506" s="98" t="s">
        <v>224</v>
      </c>
      <c r="D506" s="41">
        <v>17226</v>
      </c>
      <c r="E506" s="41">
        <f>14210.8-65.9</f>
        <v>14144.9</v>
      </c>
      <c r="F506" s="41">
        <f>9010.8-65.9</f>
        <v>8944.9</v>
      </c>
    </row>
    <row r="507" spans="1:7" ht="39" customHeight="1" x14ac:dyDescent="0.2">
      <c r="A507" s="74">
        <v>1210121800</v>
      </c>
      <c r="B507" s="16"/>
      <c r="C507" s="98" t="s">
        <v>716</v>
      </c>
      <c r="D507" s="41">
        <f>D508</f>
        <v>3047</v>
      </c>
      <c r="E507" s="41">
        <f>E508</f>
        <v>0</v>
      </c>
      <c r="F507" s="41">
        <f>F508</f>
        <v>0</v>
      </c>
    </row>
    <row r="508" spans="1:7" x14ac:dyDescent="0.2">
      <c r="A508" s="74">
        <v>1210121800</v>
      </c>
      <c r="B508" s="21" t="s">
        <v>225</v>
      </c>
      <c r="C508" s="98" t="s">
        <v>224</v>
      </c>
      <c r="D508" s="41">
        <f>547+2500</f>
        <v>3047</v>
      </c>
      <c r="E508" s="41">
        <v>0</v>
      </c>
      <c r="F508" s="41">
        <v>0</v>
      </c>
    </row>
    <row r="509" spans="1:7" ht="25.5" x14ac:dyDescent="0.2">
      <c r="A509" s="21" t="s">
        <v>289</v>
      </c>
      <c r="B509" s="82"/>
      <c r="C509" s="99" t="s">
        <v>290</v>
      </c>
      <c r="D509" s="41">
        <f>D510+D512</f>
        <v>6582.0999999999995</v>
      </c>
      <c r="E509" s="41">
        <f t="shared" ref="E509:F509" si="152">E510+E512</f>
        <v>6582.0999999999995</v>
      </c>
      <c r="F509" s="41">
        <f t="shared" si="152"/>
        <v>6582.0999999999995</v>
      </c>
    </row>
    <row r="510" spans="1:7" ht="25.5" x14ac:dyDescent="0.2">
      <c r="A510" s="74">
        <v>1210211450</v>
      </c>
      <c r="B510" s="16"/>
      <c r="C510" s="98" t="s">
        <v>674</v>
      </c>
      <c r="D510" s="41">
        <f>D511</f>
        <v>6516.2</v>
      </c>
      <c r="E510" s="41">
        <f>E511</f>
        <v>6516.2</v>
      </c>
      <c r="F510" s="41">
        <f>F511</f>
        <v>6516.2</v>
      </c>
    </row>
    <row r="511" spans="1:7" ht="38.25" x14ac:dyDescent="0.2">
      <c r="A511" s="74">
        <v>1210211450</v>
      </c>
      <c r="B511" s="82" t="s">
        <v>211</v>
      </c>
      <c r="C511" s="98" t="s">
        <v>212</v>
      </c>
      <c r="D511" s="39">
        <v>6516.2</v>
      </c>
      <c r="E511" s="39">
        <v>6516.2</v>
      </c>
      <c r="F511" s="39">
        <v>6516.2</v>
      </c>
    </row>
    <row r="512" spans="1:7" ht="25.5" x14ac:dyDescent="0.2">
      <c r="A512" s="74" t="s">
        <v>680</v>
      </c>
      <c r="B512" s="21"/>
      <c r="C512" s="98" t="s">
        <v>674</v>
      </c>
      <c r="D512" s="39">
        <f>D513</f>
        <v>65.900000000000006</v>
      </c>
      <c r="E512" s="39">
        <f t="shared" ref="E512:F512" si="153">E513</f>
        <v>65.900000000000006</v>
      </c>
      <c r="F512" s="39">
        <f t="shared" si="153"/>
        <v>65.900000000000006</v>
      </c>
    </row>
    <row r="513" spans="1:7" ht="38.25" x14ac:dyDescent="0.2">
      <c r="A513" s="74" t="s">
        <v>680</v>
      </c>
      <c r="B513" s="82" t="s">
        <v>211</v>
      </c>
      <c r="C513" s="98" t="s">
        <v>212</v>
      </c>
      <c r="D513" s="39">
        <v>65.900000000000006</v>
      </c>
      <c r="E513" s="39">
        <v>65.900000000000006</v>
      </c>
      <c r="F513" s="39">
        <v>65.900000000000006</v>
      </c>
    </row>
    <row r="514" spans="1:7" ht="25.5" x14ac:dyDescent="0.2">
      <c r="A514" s="21" t="s">
        <v>770</v>
      </c>
      <c r="B514" s="82"/>
      <c r="C514" s="177" t="s">
        <v>771</v>
      </c>
      <c r="D514" s="39">
        <f>D515+D517</f>
        <v>54338.100000000006</v>
      </c>
      <c r="E514" s="39">
        <f t="shared" ref="E514:F514" si="154">E515+E517</f>
        <v>0</v>
      </c>
      <c r="F514" s="39">
        <f t="shared" si="154"/>
        <v>0</v>
      </c>
    </row>
    <row r="515" spans="1:7" ht="25.5" x14ac:dyDescent="0.2">
      <c r="A515" s="21" t="s">
        <v>772</v>
      </c>
      <c r="B515" s="82"/>
      <c r="C515" s="98" t="s">
        <v>773</v>
      </c>
      <c r="D515" s="39">
        <f>D516</f>
        <v>28181.4</v>
      </c>
      <c r="E515" s="39">
        <f t="shared" ref="E515:F515" si="155">E516</f>
        <v>0</v>
      </c>
      <c r="F515" s="39">
        <f t="shared" si="155"/>
        <v>0</v>
      </c>
    </row>
    <row r="516" spans="1:7" ht="38.25" x14ac:dyDescent="0.2">
      <c r="A516" s="21" t="s">
        <v>772</v>
      </c>
      <c r="B516" s="82" t="s">
        <v>211</v>
      </c>
      <c r="C516" s="98" t="s">
        <v>212</v>
      </c>
      <c r="D516" s="39">
        <v>28181.4</v>
      </c>
      <c r="E516" s="39">
        <v>0</v>
      </c>
      <c r="F516" s="39">
        <v>0</v>
      </c>
    </row>
    <row r="517" spans="1:7" ht="25.5" x14ac:dyDescent="0.2">
      <c r="A517" s="21" t="s">
        <v>774</v>
      </c>
      <c r="B517" s="82"/>
      <c r="C517" s="98" t="s">
        <v>773</v>
      </c>
      <c r="D517" s="39">
        <f>D518</f>
        <v>26156.7</v>
      </c>
      <c r="E517" s="39">
        <f t="shared" ref="E517:F517" si="156">E518</f>
        <v>0</v>
      </c>
      <c r="F517" s="39">
        <f t="shared" si="156"/>
        <v>0</v>
      </c>
    </row>
    <row r="518" spans="1:7" ht="38.25" x14ac:dyDescent="0.2">
      <c r="A518" s="21" t="s">
        <v>774</v>
      </c>
      <c r="B518" s="82" t="s">
        <v>211</v>
      </c>
      <c r="C518" s="98" t="s">
        <v>212</v>
      </c>
      <c r="D518" s="39">
        <v>26156.7</v>
      </c>
      <c r="E518" s="39">
        <v>0</v>
      </c>
      <c r="F518" s="39">
        <v>0</v>
      </c>
    </row>
    <row r="519" spans="1:7" ht="25.5" x14ac:dyDescent="0.2">
      <c r="A519" s="52" t="s">
        <v>57</v>
      </c>
      <c r="B519" s="47"/>
      <c r="C519" s="48" t="s">
        <v>25</v>
      </c>
      <c r="D519" s="93">
        <f>D520+D524</f>
        <v>2678.2</v>
      </c>
      <c r="E519" s="93">
        <f t="shared" ref="E519:F519" si="157">E520+E524</f>
        <v>1325</v>
      </c>
      <c r="F519" s="93">
        <f t="shared" si="157"/>
        <v>850</v>
      </c>
      <c r="G519" s="103"/>
    </row>
    <row r="520" spans="1:7" x14ac:dyDescent="0.2">
      <c r="A520" s="21" t="s">
        <v>238</v>
      </c>
      <c r="B520" s="47"/>
      <c r="C520" s="99" t="s">
        <v>239</v>
      </c>
      <c r="D520" s="39">
        <f t="shared" ref="D520:F521" si="158">D521</f>
        <v>2678.2</v>
      </c>
      <c r="E520" s="39">
        <f t="shared" si="158"/>
        <v>850</v>
      </c>
      <c r="F520" s="39">
        <f t="shared" si="158"/>
        <v>850</v>
      </c>
    </row>
    <row r="521" spans="1:7" ht="25.5" x14ac:dyDescent="0.2">
      <c r="A521" s="79">
        <v>1220123525</v>
      </c>
      <c r="B521" s="16"/>
      <c r="C521" s="98" t="s">
        <v>190</v>
      </c>
      <c r="D521" s="41">
        <f t="shared" si="158"/>
        <v>2678.2</v>
      </c>
      <c r="E521" s="41">
        <f t="shared" si="158"/>
        <v>850</v>
      </c>
      <c r="F521" s="41">
        <f t="shared" si="158"/>
        <v>850</v>
      </c>
    </row>
    <row r="522" spans="1:7" ht="38.25" x14ac:dyDescent="0.2">
      <c r="A522" s="79">
        <v>1220123525</v>
      </c>
      <c r="B522" s="82" t="s">
        <v>211</v>
      </c>
      <c r="C522" s="98" t="s">
        <v>212</v>
      </c>
      <c r="D522" s="41">
        <v>2678.2</v>
      </c>
      <c r="E522" s="41">
        <v>850</v>
      </c>
      <c r="F522" s="41">
        <v>850</v>
      </c>
    </row>
    <row r="523" spans="1:7" ht="38.25" customHeight="1" x14ac:dyDescent="0.2">
      <c r="A523" s="21" t="s">
        <v>519</v>
      </c>
      <c r="B523" s="82"/>
      <c r="C523" s="99" t="s">
        <v>518</v>
      </c>
      <c r="D523" s="41">
        <f>D524</f>
        <v>0</v>
      </c>
      <c r="E523" s="41">
        <f t="shared" ref="E523:F523" si="159">E524</f>
        <v>475</v>
      </c>
      <c r="F523" s="41">
        <f t="shared" si="159"/>
        <v>0</v>
      </c>
    </row>
    <row r="524" spans="1:7" ht="25.5" x14ac:dyDescent="0.2">
      <c r="A524" s="79">
        <v>1220223530</v>
      </c>
      <c r="B524" s="16"/>
      <c r="C524" s="98" t="s">
        <v>191</v>
      </c>
      <c r="D524" s="41">
        <f>D525</f>
        <v>0</v>
      </c>
      <c r="E524" s="41">
        <f>E525</f>
        <v>475</v>
      </c>
      <c r="F524" s="41">
        <f>F525</f>
        <v>0</v>
      </c>
    </row>
    <row r="525" spans="1:7" ht="38.25" x14ac:dyDescent="0.2">
      <c r="A525" s="79">
        <v>1220223530</v>
      </c>
      <c r="B525" s="82" t="s">
        <v>211</v>
      </c>
      <c r="C525" s="98" t="s">
        <v>212</v>
      </c>
      <c r="D525" s="39">
        <v>0</v>
      </c>
      <c r="E525" s="39">
        <v>475</v>
      </c>
      <c r="F525" s="39">
        <v>0</v>
      </c>
    </row>
    <row r="526" spans="1:7" ht="38.25" x14ac:dyDescent="0.2">
      <c r="A526" s="52" t="s">
        <v>58</v>
      </c>
      <c r="B526" s="47"/>
      <c r="C526" s="48" t="s">
        <v>608</v>
      </c>
      <c r="D526" s="93">
        <f>D527</f>
        <v>2692.8</v>
      </c>
      <c r="E526" s="93">
        <f t="shared" ref="E526:F526" si="160">E527</f>
        <v>107</v>
      </c>
      <c r="F526" s="93">
        <f t="shared" si="160"/>
        <v>107</v>
      </c>
    </row>
    <row r="527" spans="1:7" ht="39.75" customHeight="1" x14ac:dyDescent="0.2">
      <c r="A527" s="21" t="s">
        <v>240</v>
      </c>
      <c r="B527" s="47"/>
      <c r="C527" s="99" t="s">
        <v>241</v>
      </c>
      <c r="D527" s="39">
        <f>D528+D531+D533</f>
        <v>2692.8</v>
      </c>
      <c r="E527" s="39">
        <f t="shared" ref="E527:F527" si="161">E528+E531+E533</f>
        <v>107</v>
      </c>
      <c r="F527" s="39">
        <f t="shared" si="161"/>
        <v>107</v>
      </c>
    </row>
    <row r="528" spans="1:7" ht="28.5" customHeight="1" x14ac:dyDescent="0.2">
      <c r="A528" s="21" t="s">
        <v>701</v>
      </c>
      <c r="B528" s="16"/>
      <c r="C528" s="98" t="s">
        <v>702</v>
      </c>
      <c r="D528" s="214">
        <f>SUM(D529:D530)</f>
        <v>1270.1000000000001</v>
      </c>
      <c r="E528" s="41">
        <f t="shared" ref="E528:F528" si="162">E529</f>
        <v>0</v>
      </c>
      <c r="F528" s="41">
        <f t="shared" si="162"/>
        <v>0</v>
      </c>
    </row>
    <row r="529" spans="1:6" ht="39.75" customHeight="1" x14ac:dyDescent="0.2">
      <c r="A529" s="21" t="s">
        <v>701</v>
      </c>
      <c r="B529" s="82" t="s">
        <v>211</v>
      </c>
      <c r="C529" s="98" t="s">
        <v>212</v>
      </c>
      <c r="D529" s="41">
        <f>282.8+841.1</f>
        <v>1123.9000000000001</v>
      </c>
      <c r="E529" s="39">
        <v>0</v>
      </c>
      <c r="F529" s="39">
        <v>0</v>
      </c>
    </row>
    <row r="530" spans="1:6" s="200" customFormat="1" ht="18" customHeight="1" x14ac:dyDescent="0.2">
      <c r="A530" s="21" t="s">
        <v>701</v>
      </c>
      <c r="B530" s="82" t="s">
        <v>748</v>
      </c>
      <c r="C530" s="173" t="s">
        <v>749</v>
      </c>
      <c r="D530" s="41">
        <v>146.19999999999999</v>
      </c>
      <c r="E530" s="39">
        <v>0</v>
      </c>
      <c r="F530" s="39">
        <v>0</v>
      </c>
    </row>
    <row r="531" spans="1:6" ht="25.5" x14ac:dyDescent="0.2">
      <c r="A531" s="21" t="s">
        <v>520</v>
      </c>
      <c r="B531" s="16"/>
      <c r="C531" s="98" t="s">
        <v>23</v>
      </c>
      <c r="D531" s="41">
        <f>D532</f>
        <v>1259.7</v>
      </c>
      <c r="E531" s="41">
        <f>E532</f>
        <v>100</v>
      </c>
      <c r="F531" s="41">
        <f>F532</f>
        <v>100</v>
      </c>
    </row>
    <row r="532" spans="1:6" ht="38.25" x14ac:dyDescent="0.2">
      <c r="A532" s="21" t="s">
        <v>520</v>
      </c>
      <c r="B532" s="82" t="s">
        <v>211</v>
      </c>
      <c r="C532" s="98" t="s">
        <v>212</v>
      </c>
      <c r="D532" s="41">
        <f>2062.9-153.2-600-50</f>
        <v>1259.7</v>
      </c>
      <c r="E532" s="41">
        <v>100</v>
      </c>
      <c r="F532" s="41">
        <v>100</v>
      </c>
    </row>
    <row r="533" spans="1:6" ht="25.5" x14ac:dyDescent="0.2">
      <c r="A533" s="21" t="s">
        <v>521</v>
      </c>
      <c r="B533" s="16"/>
      <c r="C533" s="98" t="s">
        <v>192</v>
      </c>
      <c r="D533" s="41">
        <f>D534</f>
        <v>163</v>
      </c>
      <c r="E533" s="41">
        <f>E534</f>
        <v>7</v>
      </c>
      <c r="F533" s="41">
        <f>F534</f>
        <v>7</v>
      </c>
    </row>
    <row r="534" spans="1:6" ht="38.25" x14ac:dyDescent="0.2">
      <c r="A534" s="21" t="s">
        <v>521</v>
      </c>
      <c r="B534" s="82" t="s">
        <v>211</v>
      </c>
      <c r="C534" s="98" t="s">
        <v>212</v>
      </c>
      <c r="D534" s="41">
        <v>163</v>
      </c>
      <c r="E534" s="41">
        <v>7</v>
      </c>
      <c r="F534" s="41">
        <v>7</v>
      </c>
    </row>
    <row r="535" spans="1:6" ht="51" x14ac:dyDescent="0.2">
      <c r="A535" s="52" t="s">
        <v>522</v>
      </c>
      <c r="B535" s="16"/>
      <c r="C535" s="60" t="s">
        <v>523</v>
      </c>
      <c r="D535" s="41">
        <f>D536</f>
        <v>18026.900000000001</v>
      </c>
      <c r="E535" s="41">
        <f t="shared" ref="E535:F535" si="163">E536</f>
        <v>8657.5</v>
      </c>
      <c r="F535" s="41">
        <f t="shared" si="163"/>
        <v>14357.5</v>
      </c>
    </row>
    <row r="536" spans="1:6" ht="44.25" customHeight="1" x14ac:dyDescent="0.2">
      <c r="A536" s="21" t="s">
        <v>524</v>
      </c>
      <c r="B536" s="16"/>
      <c r="C536" s="98" t="s">
        <v>647</v>
      </c>
      <c r="D536" s="41">
        <f>D537+D539+D541</f>
        <v>18026.900000000001</v>
      </c>
      <c r="E536" s="41">
        <f t="shared" ref="E536:F536" si="164">E537+E539+E541</f>
        <v>8657.5</v>
      </c>
      <c r="F536" s="41">
        <f t="shared" si="164"/>
        <v>14357.5</v>
      </c>
    </row>
    <row r="537" spans="1:6" ht="31.5" customHeight="1" x14ac:dyDescent="0.2">
      <c r="A537" s="21" t="s">
        <v>525</v>
      </c>
      <c r="B537" s="82"/>
      <c r="C537" s="98" t="s">
        <v>526</v>
      </c>
      <c r="D537" s="41">
        <f t="shared" ref="D537" si="165">D538</f>
        <v>9844</v>
      </c>
      <c r="E537" s="41">
        <f t="shared" ref="E537" si="166">E538</f>
        <v>3800</v>
      </c>
      <c r="F537" s="41">
        <f t="shared" ref="F537" si="167">F538</f>
        <v>9500</v>
      </c>
    </row>
    <row r="538" spans="1:6" ht="38.25" x14ac:dyDescent="0.2">
      <c r="A538" s="21" t="s">
        <v>525</v>
      </c>
      <c r="B538" s="82" t="s">
        <v>211</v>
      </c>
      <c r="C538" s="98" t="s">
        <v>212</v>
      </c>
      <c r="D538" s="41">
        <v>9844</v>
      </c>
      <c r="E538" s="41">
        <v>3800</v>
      </c>
      <c r="F538" s="41">
        <v>9500</v>
      </c>
    </row>
    <row r="539" spans="1:6" x14ac:dyDescent="0.2">
      <c r="A539" s="21" t="s">
        <v>766</v>
      </c>
      <c r="B539" s="82"/>
      <c r="C539" s="98" t="s">
        <v>767</v>
      </c>
      <c r="D539" s="41">
        <f>D540</f>
        <v>483.1</v>
      </c>
      <c r="E539" s="41">
        <f t="shared" ref="E539:F539" si="168">E540</f>
        <v>0</v>
      </c>
      <c r="F539" s="41">
        <f t="shared" si="168"/>
        <v>0</v>
      </c>
    </row>
    <row r="540" spans="1:6" ht="38.25" x14ac:dyDescent="0.2">
      <c r="A540" s="21" t="s">
        <v>766</v>
      </c>
      <c r="B540" s="82" t="s">
        <v>211</v>
      </c>
      <c r="C540" s="98" t="s">
        <v>212</v>
      </c>
      <c r="D540" s="41">
        <f>241.5+241.6</f>
        <v>483.1</v>
      </c>
      <c r="E540" s="41">
        <v>0</v>
      </c>
      <c r="F540" s="41">
        <v>0</v>
      </c>
    </row>
    <row r="541" spans="1:6" ht="78.75" customHeight="1" x14ac:dyDescent="0.2">
      <c r="A541" s="21" t="s">
        <v>675</v>
      </c>
      <c r="B541" s="82"/>
      <c r="C541" s="98" t="s">
        <v>676</v>
      </c>
      <c r="D541" s="41">
        <f>D542</f>
        <v>7699.8</v>
      </c>
      <c r="E541" s="41">
        <f t="shared" ref="E541:F541" si="169">E542</f>
        <v>4857.5</v>
      </c>
      <c r="F541" s="41">
        <f t="shared" si="169"/>
        <v>4857.5</v>
      </c>
    </row>
    <row r="542" spans="1:6" x14ac:dyDescent="0.2">
      <c r="A542" s="21" t="s">
        <v>675</v>
      </c>
      <c r="B542" s="21" t="s">
        <v>225</v>
      </c>
      <c r="C542" s="98" t="s">
        <v>224</v>
      </c>
      <c r="D542" s="41">
        <v>7699.8</v>
      </c>
      <c r="E542" s="41">
        <v>4857.5</v>
      </c>
      <c r="F542" s="41">
        <v>4857.5</v>
      </c>
    </row>
    <row r="543" spans="1:6" ht="77.25" x14ac:dyDescent="0.25">
      <c r="A543" s="73" t="s">
        <v>35</v>
      </c>
      <c r="B543" s="3"/>
      <c r="C543" s="141" t="s">
        <v>585</v>
      </c>
      <c r="D543" s="59">
        <f>D544+D556</f>
        <v>27515.9</v>
      </c>
      <c r="E543" s="59">
        <f>E544+E556</f>
        <v>8441.7000000000007</v>
      </c>
      <c r="F543" s="59">
        <f>F544+F556</f>
        <v>10298.9</v>
      </c>
    </row>
    <row r="544" spans="1:6" ht="26.25" x14ac:dyDescent="0.25">
      <c r="A544" s="52" t="s">
        <v>36</v>
      </c>
      <c r="B544" s="3"/>
      <c r="C544" s="46" t="s">
        <v>83</v>
      </c>
      <c r="D544" s="41">
        <f>D545+D550+D553</f>
        <v>23185.9</v>
      </c>
      <c r="E544" s="41">
        <f>E545+E550+E553</f>
        <v>5465.4</v>
      </c>
      <c r="F544" s="41">
        <f>F545+F550+F553</f>
        <v>7322.5999999999995</v>
      </c>
    </row>
    <row r="545" spans="1:6" ht="26.25" x14ac:dyDescent="0.25">
      <c r="A545" s="21" t="s">
        <v>275</v>
      </c>
      <c r="B545" s="3"/>
      <c r="C545" s="104" t="s">
        <v>276</v>
      </c>
      <c r="D545" s="41">
        <f>D546+D548</f>
        <v>3623</v>
      </c>
      <c r="E545" s="41">
        <f t="shared" ref="E545:F545" si="170">E546+E548</f>
        <v>905.69999999999993</v>
      </c>
      <c r="F545" s="41">
        <f t="shared" si="170"/>
        <v>1086.9000000000001</v>
      </c>
    </row>
    <row r="546" spans="1:6" ht="39" x14ac:dyDescent="0.25">
      <c r="A546" s="21" t="s">
        <v>305</v>
      </c>
      <c r="B546" s="3"/>
      <c r="C546" s="128" t="s">
        <v>202</v>
      </c>
      <c r="D546" s="41">
        <f t="shared" ref="D546:F546" si="171">D547</f>
        <v>724.6</v>
      </c>
      <c r="E546" s="41">
        <f t="shared" si="171"/>
        <v>905.69999999999993</v>
      </c>
      <c r="F546" s="41">
        <f t="shared" si="171"/>
        <v>1086.9000000000001</v>
      </c>
    </row>
    <row r="547" spans="1:6" x14ac:dyDescent="0.2">
      <c r="A547" s="21" t="s">
        <v>305</v>
      </c>
      <c r="B547" s="82" t="s">
        <v>248</v>
      </c>
      <c r="C547" s="102" t="s">
        <v>247</v>
      </c>
      <c r="D547" s="41">
        <v>724.6</v>
      </c>
      <c r="E547" s="195">
        <f>905.8-0.1</f>
        <v>905.69999999999993</v>
      </c>
      <c r="F547" s="41">
        <v>1086.9000000000001</v>
      </c>
    </row>
    <row r="548" spans="1:6" ht="38.25" x14ac:dyDescent="0.2">
      <c r="A548" s="21" t="s">
        <v>699</v>
      </c>
      <c r="B548" s="82"/>
      <c r="C548" s="124" t="s">
        <v>700</v>
      </c>
      <c r="D548" s="41">
        <f>D549</f>
        <v>2898.4</v>
      </c>
      <c r="E548" s="41">
        <f t="shared" ref="E548:F548" si="172">E549</f>
        <v>0</v>
      </c>
      <c r="F548" s="41">
        <f t="shared" si="172"/>
        <v>0</v>
      </c>
    </row>
    <row r="549" spans="1:6" x14ac:dyDescent="0.2">
      <c r="A549" s="21" t="s">
        <v>699</v>
      </c>
      <c r="B549" s="82" t="s">
        <v>248</v>
      </c>
      <c r="C549" s="102" t="s">
        <v>247</v>
      </c>
      <c r="D549" s="41">
        <v>2898.4</v>
      </c>
      <c r="E549" s="41">
        <v>0</v>
      </c>
      <c r="F549" s="41">
        <v>0</v>
      </c>
    </row>
    <row r="550" spans="1:6" ht="76.5" x14ac:dyDescent="0.2">
      <c r="A550" s="21" t="s">
        <v>277</v>
      </c>
      <c r="B550" s="35"/>
      <c r="C550" s="97" t="s">
        <v>560</v>
      </c>
      <c r="D550" s="39">
        <f>D551</f>
        <v>5072.3</v>
      </c>
      <c r="E550" s="39">
        <f t="shared" ref="E550:F550" si="173">E551</f>
        <v>1690.8</v>
      </c>
      <c r="F550" s="39">
        <f t="shared" si="173"/>
        <v>3381.5</v>
      </c>
    </row>
    <row r="551" spans="1:6" ht="51" x14ac:dyDescent="0.2">
      <c r="A551" s="79" t="s">
        <v>696</v>
      </c>
      <c r="B551" s="16"/>
      <c r="C551" s="98" t="s">
        <v>168</v>
      </c>
      <c r="D551" s="39">
        <f>D552</f>
        <v>5072.3</v>
      </c>
      <c r="E551" s="39">
        <f>E552</f>
        <v>1690.8</v>
      </c>
      <c r="F551" s="39">
        <f>F552</f>
        <v>3381.5</v>
      </c>
    </row>
    <row r="552" spans="1:6" x14ac:dyDescent="0.2">
      <c r="A552" s="79" t="s">
        <v>696</v>
      </c>
      <c r="B552" s="82" t="s">
        <v>248</v>
      </c>
      <c r="C552" s="102" t="s">
        <v>247</v>
      </c>
      <c r="D552" s="39">
        <v>5072.3</v>
      </c>
      <c r="E552" s="39">
        <v>1690.8</v>
      </c>
      <c r="F552" s="39">
        <v>3381.5</v>
      </c>
    </row>
    <row r="553" spans="1:6" ht="25.5" x14ac:dyDescent="0.2">
      <c r="A553" s="21" t="s">
        <v>300</v>
      </c>
      <c r="B553" s="82"/>
      <c r="C553" s="104" t="s">
        <v>331</v>
      </c>
      <c r="D553" s="41">
        <f t="shared" ref="D553:F554" si="174">D554</f>
        <v>14490.6</v>
      </c>
      <c r="E553" s="41">
        <f t="shared" si="174"/>
        <v>2868.9</v>
      </c>
      <c r="F553" s="41">
        <f t="shared" si="174"/>
        <v>2854.2</v>
      </c>
    </row>
    <row r="554" spans="1:6" ht="51" x14ac:dyDescent="0.2">
      <c r="A554" s="74" t="s">
        <v>330</v>
      </c>
      <c r="B554" s="16"/>
      <c r="C554" s="98" t="s">
        <v>317</v>
      </c>
      <c r="D554" s="94">
        <f t="shared" si="174"/>
        <v>14490.6</v>
      </c>
      <c r="E554" s="94">
        <f t="shared" si="174"/>
        <v>2868.9</v>
      </c>
      <c r="F554" s="94">
        <f t="shared" si="174"/>
        <v>2854.2</v>
      </c>
    </row>
    <row r="555" spans="1:6" ht="26.25" customHeight="1" x14ac:dyDescent="0.2">
      <c r="A555" s="74" t="s">
        <v>330</v>
      </c>
      <c r="B555" s="82" t="s">
        <v>260</v>
      </c>
      <c r="C555" s="98" t="s">
        <v>249</v>
      </c>
      <c r="D555" s="94">
        <f>2854.2+11592.5+43.9</f>
        <v>14490.6</v>
      </c>
      <c r="E555" s="94">
        <v>2868.9</v>
      </c>
      <c r="F555" s="94">
        <v>2854.2</v>
      </c>
    </row>
    <row r="556" spans="1:6" ht="25.5" x14ac:dyDescent="0.2">
      <c r="A556" s="52" t="s">
        <v>37</v>
      </c>
      <c r="B556" s="16"/>
      <c r="C556" s="46" t="s">
        <v>80</v>
      </c>
      <c r="D556" s="93">
        <f>D557+D560</f>
        <v>4330</v>
      </c>
      <c r="E556" s="93">
        <f>E557+E560</f>
        <v>2976.3</v>
      </c>
      <c r="F556" s="93">
        <f>F557+F560</f>
        <v>2976.3</v>
      </c>
    </row>
    <row r="557" spans="1:6" ht="51" x14ac:dyDescent="0.2">
      <c r="A557" s="21" t="s">
        <v>527</v>
      </c>
      <c r="B557" s="16"/>
      <c r="C557" s="104" t="s">
        <v>301</v>
      </c>
      <c r="D557" s="41">
        <f t="shared" ref="D557:F558" si="175">D558</f>
        <v>688</v>
      </c>
      <c r="E557" s="41">
        <f t="shared" si="175"/>
        <v>638</v>
      </c>
      <c r="F557" s="41">
        <f t="shared" si="175"/>
        <v>638</v>
      </c>
    </row>
    <row r="558" spans="1:6" ht="51" x14ac:dyDescent="0.2">
      <c r="A558" s="79">
        <v>1320127100</v>
      </c>
      <c r="B558" s="16"/>
      <c r="C558" s="98" t="s">
        <v>3</v>
      </c>
      <c r="D558" s="41">
        <f t="shared" si="175"/>
        <v>688</v>
      </c>
      <c r="E558" s="41">
        <f t="shared" si="175"/>
        <v>638</v>
      </c>
      <c r="F558" s="41">
        <f t="shared" si="175"/>
        <v>638</v>
      </c>
    </row>
    <row r="559" spans="1:6" ht="63.75" x14ac:dyDescent="0.2">
      <c r="A559" s="79">
        <v>1320127100</v>
      </c>
      <c r="B559" s="16" t="s">
        <v>19</v>
      </c>
      <c r="C559" s="99" t="s">
        <v>360</v>
      </c>
      <c r="D559" s="41">
        <v>688</v>
      </c>
      <c r="E559" s="41">
        <v>638</v>
      </c>
      <c r="F559" s="41">
        <v>638</v>
      </c>
    </row>
    <row r="560" spans="1:6" ht="39" x14ac:dyDescent="0.25">
      <c r="A560" s="21" t="s">
        <v>278</v>
      </c>
      <c r="B560" s="3"/>
      <c r="C560" s="104" t="s">
        <v>645</v>
      </c>
      <c r="D560" s="39">
        <f t="shared" ref="D560:F561" si="176">D561</f>
        <v>3642</v>
      </c>
      <c r="E560" s="39">
        <f t="shared" si="176"/>
        <v>2338.3000000000002</v>
      </c>
      <c r="F560" s="39">
        <f t="shared" si="176"/>
        <v>2338.3000000000002</v>
      </c>
    </row>
    <row r="561" spans="1:6" ht="26.25" x14ac:dyDescent="0.25">
      <c r="A561" s="79">
        <v>1320225100</v>
      </c>
      <c r="B561" s="3"/>
      <c r="C561" s="99" t="s">
        <v>362</v>
      </c>
      <c r="D561" s="41">
        <f t="shared" si="176"/>
        <v>3642</v>
      </c>
      <c r="E561" s="41">
        <f t="shared" si="176"/>
        <v>2338.3000000000002</v>
      </c>
      <c r="F561" s="41">
        <f t="shared" si="176"/>
        <v>2338.3000000000002</v>
      </c>
    </row>
    <row r="562" spans="1:6" ht="25.5" x14ac:dyDescent="0.2">
      <c r="A562" s="79">
        <v>1320225100</v>
      </c>
      <c r="B562" s="82" t="s">
        <v>279</v>
      </c>
      <c r="C562" s="98" t="s">
        <v>280</v>
      </c>
      <c r="D562" s="39">
        <f>2338.3+1303.7</f>
        <v>3642</v>
      </c>
      <c r="E562" s="39">
        <v>2338.3000000000002</v>
      </c>
      <c r="F562" s="39">
        <v>2338.3000000000002</v>
      </c>
    </row>
    <row r="563" spans="1:6" ht="77.25" customHeight="1" x14ac:dyDescent="0.2">
      <c r="A563" s="76">
        <v>1400000000</v>
      </c>
      <c r="B563" s="16"/>
      <c r="C563" s="141" t="s">
        <v>586</v>
      </c>
      <c r="D563" s="96">
        <f>D564</f>
        <v>127117.7</v>
      </c>
      <c r="E563" s="96">
        <f t="shared" ref="E563:F563" si="177">E564</f>
        <v>0</v>
      </c>
      <c r="F563" s="96">
        <f t="shared" si="177"/>
        <v>0</v>
      </c>
    </row>
    <row r="564" spans="1:6" ht="76.5" x14ac:dyDescent="0.2">
      <c r="A564" s="75">
        <v>1410000000</v>
      </c>
      <c r="B564" s="16"/>
      <c r="C564" s="48" t="s">
        <v>216</v>
      </c>
      <c r="D564" s="93">
        <f>D565+D570</f>
        <v>127117.7</v>
      </c>
      <c r="E564" s="93">
        <f>E565+E570</f>
        <v>0</v>
      </c>
      <c r="F564" s="93">
        <f>F565+F570</f>
        <v>0</v>
      </c>
    </row>
    <row r="565" spans="1:6" ht="89.25" x14ac:dyDescent="0.2">
      <c r="A565" s="74">
        <v>1410200000</v>
      </c>
      <c r="B565" s="16"/>
      <c r="C565" s="98" t="s">
        <v>363</v>
      </c>
      <c r="D565" s="41">
        <f>D566+D568</f>
        <v>19594.5</v>
      </c>
      <c r="E565" s="41">
        <f t="shared" ref="E565:F565" si="178">E566+E568</f>
        <v>0</v>
      </c>
      <c r="F565" s="41">
        <f t="shared" si="178"/>
        <v>0</v>
      </c>
    </row>
    <row r="566" spans="1:6" ht="38.25" x14ac:dyDescent="0.2">
      <c r="A566" s="74">
        <v>1410223125</v>
      </c>
      <c r="B566" s="82"/>
      <c r="C566" s="98" t="s">
        <v>639</v>
      </c>
      <c r="D566" s="41">
        <f>D567</f>
        <v>676.30000000000007</v>
      </c>
      <c r="E566" s="41">
        <f>E567</f>
        <v>0</v>
      </c>
      <c r="F566" s="41">
        <f>F567</f>
        <v>0</v>
      </c>
    </row>
    <row r="567" spans="1:6" ht="38.25" x14ac:dyDescent="0.2">
      <c r="A567" s="74">
        <v>1410223125</v>
      </c>
      <c r="B567" s="82" t="s">
        <v>211</v>
      </c>
      <c r="C567" s="98" t="s">
        <v>212</v>
      </c>
      <c r="D567" s="41">
        <f>685.6-9.3</f>
        <v>676.30000000000007</v>
      </c>
      <c r="E567" s="41">
        <v>0</v>
      </c>
      <c r="F567" s="41">
        <v>0</v>
      </c>
    </row>
    <row r="568" spans="1:6" ht="25.5" x14ac:dyDescent="0.2">
      <c r="A568" s="74">
        <v>1410223130</v>
      </c>
      <c r="B568" s="82"/>
      <c r="C568" s="108" t="s">
        <v>640</v>
      </c>
      <c r="D568" s="41">
        <f>D569</f>
        <v>18918.2</v>
      </c>
      <c r="E568" s="41">
        <f t="shared" ref="E568:F568" si="179">E569</f>
        <v>0</v>
      </c>
      <c r="F568" s="41">
        <f t="shared" si="179"/>
        <v>0</v>
      </c>
    </row>
    <row r="569" spans="1:6" ht="38.25" x14ac:dyDescent="0.2">
      <c r="A569" s="74">
        <v>1410223130</v>
      </c>
      <c r="B569" s="82" t="s">
        <v>211</v>
      </c>
      <c r="C569" s="98" t="s">
        <v>212</v>
      </c>
      <c r="D569" s="41">
        <f>14930.6-930.6+4918.2</f>
        <v>18918.2</v>
      </c>
      <c r="E569" s="41">
        <v>0</v>
      </c>
      <c r="F569" s="41">
        <v>0</v>
      </c>
    </row>
    <row r="570" spans="1:6" ht="51" x14ac:dyDescent="0.2">
      <c r="A570" s="74" t="s">
        <v>376</v>
      </c>
      <c r="B570" s="82"/>
      <c r="C570" s="98" t="s">
        <v>377</v>
      </c>
      <c r="D570" s="41">
        <f>D571+D573</f>
        <v>107523.2</v>
      </c>
      <c r="E570" s="41">
        <f t="shared" ref="E570:F570" si="180">E571</f>
        <v>0</v>
      </c>
      <c r="F570" s="41">
        <f t="shared" si="180"/>
        <v>0</v>
      </c>
    </row>
    <row r="571" spans="1:6" ht="25.5" x14ac:dyDescent="0.2">
      <c r="A571" s="74" t="s">
        <v>349</v>
      </c>
      <c r="B571" s="16"/>
      <c r="C571" s="98" t="s">
        <v>316</v>
      </c>
      <c r="D571" s="41">
        <f>D572</f>
        <v>13527.6</v>
      </c>
      <c r="E571" s="41">
        <f>E572</f>
        <v>0</v>
      </c>
      <c r="F571" s="41">
        <f>F572</f>
        <v>0</v>
      </c>
    </row>
    <row r="572" spans="1:6" ht="38.25" x14ac:dyDescent="0.2">
      <c r="A572" s="74" t="s">
        <v>349</v>
      </c>
      <c r="B572" s="82" t="s">
        <v>211</v>
      </c>
      <c r="C572" s="98" t="s">
        <v>212</v>
      </c>
      <c r="D572" s="41">
        <v>13527.6</v>
      </c>
      <c r="E572" s="41">
        <v>0</v>
      </c>
      <c r="F572" s="41">
        <v>0</v>
      </c>
    </row>
    <row r="573" spans="1:6" ht="51" x14ac:dyDescent="0.2">
      <c r="A573" s="129" t="s">
        <v>664</v>
      </c>
      <c r="B573" s="16"/>
      <c r="C573" s="98" t="s">
        <v>665</v>
      </c>
      <c r="D573" s="41">
        <f>D574</f>
        <v>93995.599999999991</v>
      </c>
      <c r="E573" s="41">
        <f>E574</f>
        <v>0</v>
      </c>
      <c r="F573" s="41">
        <f>F574</f>
        <v>0</v>
      </c>
    </row>
    <row r="574" spans="1:6" x14ac:dyDescent="0.2">
      <c r="A574" s="129" t="s">
        <v>664</v>
      </c>
      <c r="B574" s="21" t="s">
        <v>225</v>
      </c>
      <c r="C574" s="98" t="s">
        <v>224</v>
      </c>
      <c r="D574" s="41">
        <f>93055.7+939.9</f>
        <v>93995.599999999991</v>
      </c>
      <c r="E574" s="41">
        <v>0</v>
      </c>
      <c r="F574" s="41">
        <v>0</v>
      </c>
    </row>
    <row r="575" spans="1:6" ht="116.25" customHeight="1" x14ac:dyDescent="0.2">
      <c r="A575" s="73" t="s">
        <v>540</v>
      </c>
      <c r="B575" s="82"/>
      <c r="C575" s="141" t="s">
        <v>587</v>
      </c>
      <c r="D575" s="96">
        <f>D576+D580</f>
        <v>21285.599999999999</v>
      </c>
      <c r="E575" s="96">
        <f>E576</f>
        <v>300</v>
      </c>
      <c r="F575" s="96">
        <f>F576</f>
        <v>300</v>
      </c>
    </row>
    <row r="576" spans="1:6" ht="51" x14ac:dyDescent="0.2">
      <c r="A576" s="140">
        <v>1510000000</v>
      </c>
      <c r="B576" s="82"/>
      <c r="C576" s="48" t="s">
        <v>361</v>
      </c>
      <c r="D576" s="93">
        <f>D577</f>
        <v>0</v>
      </c>
      <c r="E576" s="93">
        <f t="shared" ref="E576:F577" si="181">E577</f>
        <v>300</v>
      </c>
      <c r="F576" s="93">
        <f t="shared" si="181"/>
        <v>300</v>
      </c>
    </row>
    <row r="577" spans="1:7" ht="51" x14ac:dyDescent="0.2">
      <c r="A577" s="129">
        <v>1510300000</v>
      </c>
      <c r="B577" s="82"/>
      <c r="C577" s="98" t="s">
        <v>541</v>
      </c>
      <c r="D577" s="41">
        <f>D578</f>
        <v>0</v>
      </c>
      <c r="E577" s="41">
        <f t="shared" si="181"/>
        <v>300</v>
      </c>
      <c r="F577" s="41">
        <f t="shared" si="181"/>
        <v>300</v>
      </c>
    </row>
    <row r="578" spans="1:7" ht="51" x14ac:dyDescent="0.2">
      <c r="A578" s="168" t="s">
        <v>728</v>
      </c>
      <c r="B578" s="82"/>
      <c r="C578" s="99" t="s">
        <v>729</v>
      </c>
      <c r="D578" s="41">
        <f>D579</f>
        <v>0</v>
      </c>
      <c r="E578" s="41">
        <f t="shared" ref="E578:F578" si="182">E579</f>
        <v>300</v>
      </c>
      <c r="F578" s="41">
        <f t="shared" si="182"/>
        <v>300</v>
      </c>
    </row>
    <row r="579" spans="1:7" ht="38.25" x14ac:dyDescent="0.2">
      <c r="A579" s="168" t="s">
        <v>728</v>
      </c>
      <c r="B579" s="82" t="s">
        <v>211</v>
      </c>
      <c r="C579" s="99" t="s">
        <v>212</v>
      </c>
      <c r="D579" s="41">
        <v>0</v>
      </c>
      <c r="E579" s="41">
        <v>300</v>
      </c>
      <c r="F579" s="41">
        <v>300</v>
      </c>
    </row>
    <row r="580" spans="1:7" ht="51" x14ac:dyDescent="0.2">
      <c r="A580" s="140">
        <v>1520000000</v>
      </c>
      <c r="B580" s="82"/>
      <c r="C580" s="48" t="s">
        <v>761</v>
      </c>
      <c r="D580" s="176">
        <f>D581</f>
        <v>21285.599999999999</v>
      </c>
      <c r="E580" s="176">
        <f t="shared" ref="E580:F582" si="183">E581</f>
        <v>0</v>
      </c>
      <c r="F580" s="176">
        <f t="shared" si="183"/>
        <v>0</v>
      </c>
    </row>
    <row r="581" spans="1:7" ht="38.25" x14ac:dyDescent="0.2">
      <c r="A581" s="129">
        <v>1520400000</v>
      </c>
      <c r="B581" s="82"/>
      <c r="C581" s="98" t="s">
        <v>768</v>
      </c>
      <c r="D581" s="170">
        <f>D582</f>
        <v>21285.599999999999</v>
      </c>
      <c r="E581" s="170">
        <f t="shared" si="183"/>
        <v>0</v>
      </c>
      <c r="F581" s="170">
        <f t="shared" si="183"/>
        <v>0</v>
      </c>
    </row>
    <row r="582" spans="1:7" ht="51" x14ac:dyDescent="0.2">
      <c r="A582" s="129">
        <v>1520424016</v>
      </c>
      <c r="B582" s="82"/>
      <c r="C582" s="98" t="s">
        <v>762</v>
      </c>
      <c r="D582" s="170">
        <f>D583</f>
        <v>21285.599999999999</v>
      </c>
      <c r="E582" s="170">
        <f t="shared" si="183"/>
        <v>0</v>
      </c>
      <c r="F582" s="170">
        <f t="shared" si="183"/>
        <v>0</v>
      </c>
    </row>
    <row r="583" spans="1:7" ht="38.25" x14ac:dyDescent="0.2">
      <c r="A583" s="129">
        <v>1520424016</v>
      </c>
      <c r="B583" s="166" t="s">
        <v>211</v>
      </c>
      <c r="C583" s="169" t="s">
        <v>212</v>
      </c>
      <c r="D583" s="39">
        <f>31000+19963.4-31614.4+1936.6</f>
        <v>21285.599999999999</v>
      </c>
      <c r="E583" s="170">
        <v>0</v>
      </c>
      <c r="F583" s="170">
        <v>0</v>
      </c>
    </row>
    <row r="584" spans="1:7" ht="80.25" customHeight="1" x14ac:dyDescent="0.25">
      <c r="A584" s="73" t="s">
        <v>227</v>
      </c>
      <c r="B584" s="16"/>
      <c r="C584" s="64" t="s">
        <v>588</v>
      </c>
      <c r="D584" s="59">
        <f t="shared" ref="D584:F584" si="184">D585</f>
        <v>5057.5</v>
      </c>
      <c r="E584" s="59">
        <f t="shared" si="184"/>
        <v>6914.2999999999993</v>
      </c>
      <c r="F584" s="59">
        <f t="shared" si="184"/>
        <v>4697.2</v>
      </c>
      <c r="G584" s="103"/>
    </row>
    <row r="585" spans="1:7" ht="38.25" x14ac:dyDescent="0.2">
      <c r="A585" s="52" t="s">
        <v>228</v>
      </c>
      <c r="B585" s="47"/>
      <c r="C585" s="48" t="s">
        <v>229</v>
      </c>
      <c r="D585" s="93">
        <f>D586+D599</f>
        <v>5057.5</v>
      </c>
      <c r="E585" s="93">
        <f>E586+E599</f>
        <v>6914.2999999999993</v>
      </c>
      <c r="F585" s="93">
        <f>F586+F599</f>
        <v>4697.2</v>
      </c>
      <c r="G585" s="103"/>
    </row>
    <row r="586" spans="1:7" ht="38.25" x14ac:dyDescent="0.2">
      <c r="A586" s="21" t="s">
        <v>230</v>
      </c>
      <c r="B586" s="82"/>
      <c r="C586" s="98" t="s">
        <v>231</v>
      </c>
      <c r="D586" s="41">
        <f>D587+D589+D591+D593+D595+D597</f>
        <v>1111.5999999999999</v>
      </c>
      <c r="E586" s="41">
        <f t="shared" ref="E586:F586" si="185">E587+E589+E591+E593+E595+E597</f>
        <v>2810.6</v>
      </c>
      <c r="F586" s="41">
        <f t="shared" si="185"/>
        <v>429.4</v>
      </c>
      <c r="G586" s="103"/>
    </row>
    <row r="587" spans="1:7" ht="38.25" x14ac:dyDescent="0.2">
      <c r="A587" s="21" t="s">
        <v>530</v>
      </c>
      <c r="B587" s="82"/>
      <c r="C587" s="98" t="s">
        <v>339</v>
      </c>
      <c r="D587" s="41">
        <f>D588</f>
        <v>0</v>
      </c>
      <c r="E587" s="41">
        <f>E588</f>
        <v>2381.1999999999998</v>
      </c>
      <c r="F587" s="41">
        <f>F588</f>
        <v>0</v>
      </c>
      <c r="G587" s="103"/>
    </row>
    <row r="588" spans="1:7" ht="38.25" x14ac:dyDescent="0.2">
      <c r="A588" s="21" t="s">
        <v>530</v>
      </c>
      <c r="B588" s="82" t="s">
        <v>211</v>
      </c>
      <c r="C588" s="98" t="s">
        <v>212</v>
      </c>
      <c r="D588" s="41">
        <v>0</v>
      </c>
      <c r="E588" s="41">
        <v>2381.1999999999998</v>
      </c>
      <c r="F588" s="41">
        <v>0</v>
      </c>
    </row>
    <row r="589" spans="1:7" ht="25.5" x14ac:dyDescent="0.2">
      <c r="A589" s="21" t="s">
        <v>688</v>
      </c>
      <c r="B589" s="82"/>
      <c r="C589" s="98" t="s">
        <v>689</v>
      </c>
      <c r="D589" s="41">
        <f>D590</f>
        <v>0</v>
      </c>
      <c r="E589" s="41">
        <f t="shared" ref="E589:F589" si="186">E590</f>
        <v>0</v>
      </c>
      <c r="F589" s="41">
        <f t="shared" si="186"/>
        <v>429.4</v>
      </c>
    </row>
    <row r="590" spans="1:7" ht="38.25" x14ac:dyDescent="0.2">
      <c r="A590" s="21" t="s">
        <v>688</v>
      </c>
      <c r="B590" s="82" t="s">
        <v>211</v>
      </c>
      <c r="C590" s="98" t="s">
        <v>212</v>
      </c>
      <c r="D590" s="41">
        <v>0</v>
      </c>
      <c r="E590" s="41">
        <v>0</v>
      </c>
      <c r="F590" s="41">
        <v>429.4</v>
      </c>
    </row>
    <row r="591" spans="1:7" x14ac:dyDescent="0.2">
      <c r="A591" s="21" t="s">
        <v>531</v>
      </c>
      <c r="B591" s="16"/>
      <c r="C591" s="98" t="s">
        <v>329</v>
      </c>
      <c r="D591" s="41">
        <f>D592</f>
        <v>511.6</v>
      </c>
      <c r="E591" s="41">
        <f>E592</f>
        <v>400</v>
      </c>
      <c r="F591" s="41">
        <f>F592</f>
        <v>0</v>
      </c>
    </row>
    <row r="592" spans="1:7" ht="38.25" x14ac:dyDescent="0.2">
      <c r="A592" s="21" t="s">
        <v>531</v>
      </c>
      <c r="B592" s="82" t="s">
        <v>211</v>
      </c>
      <c r="C592" s="98" t="s">
        <v>212</v>
      </c>
      <c r="D592" s="41">
        <f>400+111.6</f>
        <v>511.6</v>
      </c>
      <c r="E592" s="41">
        <v>400</v>
      </c>
      <c r="F592" s="41">
        <v>0</v>
      </c>
    </row>
    <row r="593" spans="1:6" ht="38.25" x14ac:dyDescent="0.2">
      <c r="A593" s="21" t="s">
        <v>532</v>
      </c>
      <c r="B593" s="16"/>
      <c r="C593" s="98" t="s">
        <v>357</v>
      </c>
      <c r="D593" s="94">
        <f>D594</f>
        <v>0</v>
      </c>
      <c r="E593" s="94">
        <f>E594</f>
        <v>23.4</v>
      </c>
      <c r="F593" s="94">
        <f>F594</f>
        <v>0</v>
      </c>
    </row>
    <row r="594" spans="1:6" ht="38.25" x14ac:dyDescent="0.2">
      <c r="A594" s="21" t="s">
        <v>532</v>
      </c>
      <c r="B594" s="82" t="s">
        <v>211</v>
      </c>
      <c r="C594" s="98" t="s">
        <v>212</v>
      </c>
      <c r="D594" s="41">
        <v>0</v>
      </c>
      <c r="E594" s="41">
        <v>23.4</v>
      </c>
      <c r="F594" s="41">
        <v>0</v>
      </c>
    </row>
    <row r="595" spans="1:6" ht="25.5" x14ac:dyDescent="0.2">
      <c r="A595" s="21" t="s">
        <v>533</v>
      </c>
      <c r="B595" s="16"/>
      <c r="C595" s="98" t="s">
        <v>358</v>
      </c>
      <c r="D595" s="94">
        <f>D596</f>
        <v>0</v>
      </c>
      <c r="E595" s="94">
        <f>E596</f>
        <v>6</v>
      </c>
      <c r="F595" s="94">
        <f>F596</f>
        <v>0</v>
      </c>
    </row>
    <row r="596" spans="1:6" ht="38.25" x14ac:dyDescent="0.2">
      <c r="A596" s="21" t="s">
        <v>533</v>
      </c>
      <c r="B596" s="82" t="s">
        <v>211</v>
      </c>
      <c r="C596" s="98" t="s">
        <v>212</v>
      </c>
      <c r="D596" s="41">
        <v>0</v>
      </c>
      <c r="E596" s="41">
        <v>6</v>
      </c>
      <c r="F596" s="41">
        <v>0</v>
      </c>
    </row>
    <row r="597" spans="1:6" x14ac:dyDescent="0.2">
      <c r="A597" s="21" t="s">
        <v>630</v>
      </c>
      <c r="B597" s="82"/>
      <c r="C597" s="98" t="s">
        <v>598</v>
      </c>
      <c r="D597" s="41">
        <f>D598</f>
        <v>600</v>
      </c>
      <c r="E597" s="41">
        <f t="shared" ref="E597:F597" si="187">E598</f>
        <v>0</v>
      </c>
      <c r="F597" s="41">
        <f t="shared" si="187"/>
        <v>0</v>
      </c>
    </row>
    <row r="598" spans="1:6" ht="38.25" x14ac:dyDescent="0.2">
      <c r="A598" s="21" t="s">
        <v>630</v>
      </c>
      <c r="B598" s="82" t="s">
        <v>211</v>
      </c>
      <c r="C598" s="98" t="s">
        <v>212</v>
      </c>
      <c r="D598" s="41">
        <v>600</v>
      </c>
      <c r="E598" s="41">
        <v>0</v>
      </c>
      <c r="F598" s="41">
        <v>0</v>
      </c>
    </row>
    <row r="599" spans="1:6" ht="53.25" customHeight="1" x14ac:dyDescent="0.2">
      <c r="A599" s="51" t="s">
        <v>528</v>
      </c>
      <c r="B599" s="82"/>
      <c r="C599" s="98" t="s">
        <v>529</v>
      </c>
      <c r="D599" s="41">
        <f>D600+D602</f>
        <v>3945.9</v>
      </c>
      <c r="E599" s="41">
        <f t="shared" ref="E599:F599" si="188">E600+E602</f>
        <v>4103.7</v>
      </c>
      <c r="F599" s="41">
        <f t="shared" si="188"/>
        <v>4267.8</v>
      </c>
    </row>
    <row r="600" spans="1:6" ht="38.25" x14ac:dyDescent="0.2">
      <c r="A600" s="51" t="s">
        <v>353</v>
      </c>
      <c r="B600" s="82"/>
      <c r="C600" s="98" t="s">
        <v>350</v>
      </c>
      <c r="D600" s="41">
        <f>D601</f>
        <v>394.6</v>
      </c>
      <c r="E600" s="41">
        <f>E601</f>
        <v>410.4</v>
      </c>
      <c r="F600" s="41">
        <f>F601</f>
        <v>426.8</v>
      </c>
    </row>
    <row r="601" spans="1:6" ht="38.25" x14ac:dyDescent="0.2">
      <c r="A601" s="51" t="s">
        <v>353</v>
      </c>
      <c r="B601" s="82" t="s">
        <v>211</v>
      </c>
      <c r="C601" s="98" t="s">
        <v>212</v>
      </c>
      <c r="D601" s="39">
        <v>394.6</v>
      </c>
      <c r="E601" s="39">
        <v>410.4</v>
      </c>
      <c r="F601" s="39">
        <v>426.8</v>
      </c>
    </row>
    <row r="602" spans="1:6" ht="51" x14ac:dyDescent="0.2">
      <c r="A602" s="51" t="s">
        <v>354</v>
      </c>
      <c r="B602" s="82"/>
      <c r="C602" s="98" t="s">
        <v>348</v>
      </c>
      <c r="D602" s="41">
        <f>D603</f>
        <v>3551.3</v>
      </c>
      <c r="E602" s="41">
        <f>E603</f>
        <v>3693.3</v>
      </c>
      <c r="F602" s="41">
        <f>F603</f>
        <v>3841</v>
      </c>
    </row>
    <row r="603" spans="1:6" ht="38.25" x14ac:dyDescent="0.2">
      <c r="A603" s="51" t="s">
        <v>354</v>
      </c>
      <c r="B603" s="82" t="s">
        <v>211</v>
      </c>
      <c r="C603" s="98" t="s">
        <v>212</v>
      </c>
      <c r="D603" s="41">
        <v>3551.3</v>
      </c>
      <c r="E603" s="41">
        <v>3693.3</v>
      </c>
      <c r="F603" s="41">
        <v>3841</v>
      </c>
    </row>
    <row r="604" spans="1:6" ht="25.5" x14ac:dyDescent="0.2">
      <c r="A604" s="83">
        <v>9900000000</v>
      </c>
      <c r="B604" s="73"/>
      <c r="C604" s="122" t="s">
        <v>145</v>
      </c>
      <c r="D604" s="96">
        <f>D605+D610+D620+D632+D645+D652</f>
        <v>142865.69999999998</v>
      </c>
      <c r="E604" s="96">
        <f>E605+E610+E620+E632+E645+E652</f>
        <v>126374.5</v>
      </c>
      <c r="F604" s="96">
        <f>F605+F610+F620+F632+F645+F652</f>
        <v>126469.8</v>
      </c>
    </row>
    <row r="605" spans="1:6" x14ac:dyDescent="0.2">
      <c r="A605" s="79">
        <v>9920000000</v>
      </c>
      <c r="B605" s="73"/>
      <c r="C605" s="126" t="s">
        <v>5</v>
      </c>
      <c r="D605" s="39">
        <f t="shared" ref="D605:F605" si="189">D606</f>
        <v>500</v>
      </c>
      <c r="E605" s="39">
        <f t="shared" si="189"/>
        <v>500</v>
      </c>
      <c r="F605" s="39">
        <f t="shared" si="189"/>
        <v>500</v>
      </c>
    </row>
    <row r="606" spans="1:6" ht="16.5" customHeight="1" x14ac:dyDescent="0.2">
      <c r="A606" s="79">
        <v>9920026100</v>
      </c>
      <c r="B606" s="21"/>
      <c r="C606" s="99" t="s">
        <v>11</v>
      </c>
      <c r="D606" s="39">
        <f>SUM(D607:D609)</f>
        <v>500</v>
      </c>
      <c r="E606" s="39">
        <f t="shared" ref="E606:F606" si="190">SUM(E607:E609)</f>
        <v>500</v>
      </c>
      <c r="F606" s="39">
        <f t="shared" si="190"/>
        <v>500</v>
      </c>
    </row>
    <row r="607" spans="1:6" x14ac:dyDescent="0.2">
      <c r="A607" s="79">
        <v>9920026100</v>
      </c>
      <c r="B607" s="82" t="s">
        <v>769</v>
      </c>
      <c r="C607" s="98" t="s">
        <v>85</v>
      </c>
      <c r="D607" s="39">
        <f>153.7+18.6</f>
        <v>172.29999999999998</v>
      </c>
      <c r="E607" s="39">
        <v>0</v>
      </c>
      <c r="F607" s="39">
        <v>0</v>
      </c>
    </row>
    <row r="608" spans="1:6" x14ac:dyDescent="0.2">
      <c r="A608" s="79">
        <v>9920026100</v>
      </c>
      <c r="B608" s="82" t="s">
        <v>81</v>
      </c>
      <c r="C608" s="98" t="s">
        <v>82</v>
      </c>
      <c r="D608" s="39">
        <v>100</v>
      </c>
      <c r="E608" s="39">
        <v>0</v>
      </c>
      <c r="F608" s="39">
        <v>0</v>
      </c>
    </row>
    <row r="609" spans="1:9" x14ac:dyDescent="0.2">
      <c r="A609" s="79">
        <v>9920026100</v>
      </c>
      <c r="B609" s="16" t="s">
        <v>84</v>
      </c>
      <c r="C609" s="98" t="s">
        <v>85</v>
      </c>
      <c r="D609" s="39">
        <f>500-100-153.7-18.6</f>
        <v>227.70000000000002</v>
      </c>
      <c r="E609" s="39">
        <v>500</v>
      </c>
      <c r="F609" s="39">
        <v>500</v>
      </c>
    </row>
    <row r="610" spans="1:9" ht="25.5" x14ac:dyDescent="0.2">
      <c r="A610" s="79">
        <v>9930000000</v>
      </c>
      <c r="B610" s="16"/>
      <c r="C610" s="22" t="s">
        <v>40</v>
      </c>
      <c r="D610" s="39">
        <f>D611+D613+D616+D618</f>
        <v>2171.6999999999998</v>
      </c>
      <c r="E610" s="39">
        <f>E611+E613+E616+E618</f>
        <v>2177.6999999999998</v>
      </c>
      <c r="F610" s="39">
        <f>F611+F613+F616+F618</f>
        <v>2273</v>
      </c>
    </row>
    <row r="611" spans="1:9" ht="63.75" x14ac:dyDescent="0.2">
      <c r="A611" s="79">
        <v>9930010510</v>
      </c>
      <c r="B611" s="16"/>
      <c r="C611" s="99" t="s">
        <v>15</v>
      </c>
      <c r="D611" s="39">
        <f>D612</f>
        <v>478.1</v>
      </c>
      <c r="E611" s="39">
        <f t="shared" ref="E611:F611" si="191">E612</f>
        <v>481.7</v>
      </c>
      <c r="F611" s="39">
        <f t="shared" si="191"/>
        <v>485.5</v>
      </c>
    </row>
    <row r="612" spans="1:9" ht="25.5" x14ac:dyDescent="0.2">
      <c r="A612" s="79">
        <v>9930010510</v>
      </c>
      <c r="B612" s="16" t="s">
        <v>62</v>
      </c>
      <c r="C612" s="102" t="s">
        <v>63</v>
      </c>
      <c r="D612" s="39">
        <v>478.1</v>
      </c>
      <c r="E612" s="39">
        <v>481.7</v>
      </c>
      <c r="F612" s="39">
        <v>485.5</v>
      </c>
    </row>
    <row r="613" spans="1:9" ht="38.25" x14ac:dyDescent="0.2">
      <c r="A613" s="79">
        <v>9930010540</v>
      </c>
      <c r="B613" s="16"/>
      <c r="C613" s="99" t="s">
        <v>16</v>
      </c>
      <c r="D613" s="39">
        <f>D614+D615</f>
        <v>271.10000000000002</v>
      </c>
      <c r="E613" s="39">
        <f>E614+E615</f>
        <v>273.2</v>
      </c>
      <c r="F613" s="39">
        <f>F614+F615</f>
        <v>275.3</v>
      </c>
    </row>
    <row r="614" spans="1:9" ht="25.5" x14ac:dyDescent="0.2">
      <c r="A614" s="79">
        <v>9930010540</v>
      </c>
      <c r="B614" s="16" t="s">
        <v>62</v>
      </c>
      <c r="C614" s="102" t="s">
        <v>63</v>
      </c>
      <c r="D614" s="39">
        <v>254.9</v>
      </c>
      <c r="E614" s="39">
        <v>254.9</v>
      </c>
      <c r="F614" s="39">
        <v>254.9</v>
      </c>
    </row>
    <row r="615" spans="1:9" ht="38.25" x14ac:dyDescent="0.2">
      <c r="A615" s="79">
        <v>9930010540</v>
      </c>
      <c r="B615" s="82" t="s">
        <v>211</v>
      </c>
      <c r="C615" s="98" t="s">
        <v>212</v>
      </c>
      <c r="D615" s="39">
        <v>16.2</v>
      </c>
      <c r="E615" s="39">
        <v>18.3</v>
      </c>
      <c r="F615" s="39">
        <v>20.399999999999999</v>
      </c>
    </row>
    <row r="616" spans="1:9" ht="63.75" x14ac:dyDescent="0.2">
      <c r="A616" s="79">
        <v>9930051200</v>
      </c>
      <c r="B616" s="72"/>
      <c r="C616" s="54" t="s">
        <v>281</v>
      </c>
      <c r="D616" s="107">
        <f t="shared" ref="D616:F616" si="192">D617</f>
        <v>8.3000000000000007</v>
      </c>
      <c r="E616" s="107">
        <f t="shared" si="192"/>
        <v>8.6</v>
      </c>
      <c r="F616" s="107">
        <f t="shared" si="192"/>
        <v>98</v>
      </c>
    </row>
    <row r="617" spans="1:9" ht="38.25" x14ac:dyDescent="0.2">
      <c r="A617" s="79">
        <v>9930051200</v>
      </c>
      <c r="B617" s="82" t="s">
        <v>211</v>
      </c>
      <c r="C617" s="98" t="s">
        <v>212</v>
      </c>
      <c r="D617" s="107">
        <v>8.3000000000000007</v>
      </c>
      <c r="E617" s="107">
        <v>8.6</v>
      </c>
      <c r="F617" s="107">
        <v>98</v>
      </c>
    </row>
    <row r="618" spans="1:9" ht="38.25" customHeight="1" x14ac:dyDescent="0.2">
      <c r="A618" s="79">
        <v>9930059302</v>
      </c>
      <c r="B618" s="16"/>
      <c r="C618" s="99" t="s">
        <v>364</v>
      </c>
      <c r="D618" s="39">
        <f>SUM(D619:D619)</f>
        <v>1414.2</v>
      </c>
      <c r="E618" s="39">
        <f>SUM(E619:E619)</f>
        <v>1414.2</v>
      </c>
      <c r="F618" s="39">
        <f>SUM(F619:F619)</f>
        <v>1414.2</v>
      </c>
    </row>
    <row r="619" spans="1:9" ht="25.5" x14ac:dyDescent="0.2">
      <c r="A619" s="79">
        <v>9930059302</v>
      </c>
      <c r="B619" s="16" t="s">
        <v>62</v>
      </c>
      <c r="C619" s="55" t="s">
        <v>63</v>
      </c>
      <c r="D619" s="39">
        <v>1414.2</v>
      </c>
      <c r="E619" s="39">
        <v>1414.2</v>
      </c>
      <c r="F619" s="39">
        <v>1414.2</v>
      </c>
      <c r="I619" s="103"/>
    </row>
    <row r="620" spans="1:9" ht="25.5" x14ac:dyDescent="0.2">
      <c r="A620" s="16" t="s">
        <v>24</v>
      </c>
      <c r="B620" s="16"/>
      <c r="C620" s="99" t="s">
        <v>38</v>
      </c>
      <c r="D620" s="39">
        <f>D621+D623+D628+D630</f>
        <v>8052.4</v>
      </c>
      <c r="E620" s="39">
        <f t="shared" ref="E620:F620" si="193">E621+E623+E628+E630</f>
        <v>1417</v>
      </c>
      <c r="F620" s="39">
        <f t="shared" si="193"/>
        <v>1417</v>
      </c>
    </row>
    <row r="621" spans="1:9" ht="38.25" x14ac:dyDescent="0.2">
      <c r="A621" s="82" t="s">
        <v>568</v>
      </c>
      <c r="B621" s="16"/>
      <c r="C621" s="54" t="s">
        <v>566</v>
      </c>
      <c r="D621" s="41">
        <f>SUM(D622:D622)</f>
        <v>700</v>
      </c>
      <c r="E621" s="41">
        <f>SUM(E622:E622)</f>
        <v>0</v>
      </c>
      <c r="F621" s="41">
        <f>SUM(F622:F622)</f>
        <v>0</v>
      </c>
    </row>
    <row r="622" spans="1:9" x14ac:dyDescent="0.2">
      <c r="A622" s="82" t="s">
        <v>568</v>
      </c>
      <c r="B622" s="21" t="s">
        <v>225</v>
      </c>
      <c r="C622" s="98" t="s">
        <v>224</v>
      </c>
      <c r="D622" s="39">
        <v>700</v>
      </c>
      <c r="E622" s="39">
        <v>0</v>
      </c>
      <c r="F622" s="39">
        <v>0</v>
      </c>
    </row>
    <row r="623" spans="1:9" ht="25.5" x14ac:dyDescent="0.2">
      <c r="A623" s="82" t="s">
        <v>534</v>
      </c>
      <c r="B623" s="16"/>
      <c r="C623" s="99" t="s">
        <v>39</v>
      </c>
      <c r="D623" s="39">
        <f>SUM(D624:D627)</f>
        <v>7027.4</v>
      </c>
      <c r="E623" s="39">
        <f>SUM(E624:E627)</f>
        <v>1417</v>
      </c>
      <c r="F623" s="39">
        <f>SUM(F624:F627)</f>
        <v>1417</v>
      </c>
    </row>
    <row r="624" spans="1:9" ht="38.25" x14ac:dyDescent="0.2">
      <c r="A624" s="82" t="s">
        <v>534</v>
      </c>
      <c r="B624" s="82" t="s">
        <v>211</v>
      </c>
      <c r="C624" s="98" t="s">
        <v>212</v>
      </c>
      <c r="D624" s="39">
        <v>286.2</v>
      </c>
      <c r="E624" s="39">
        <v>287</v>
      </c>
      <c r="F624" s="39">
        <v>287</v>
      </c>
    </row>
    <row r="625" spans="1:6" x14ac:dyDescent="0.2">
      <c r="A625" s="82" t="s">
        <v>534</v>
      </c>
      <c r="B625" s="16" t="s">
        <v>81</v>
      </c>
      <c r="C625" s="98" t="s">
        <v>82</v>
      </c>
      <c r="D625" s="39">
        <v>528</v>
      </c>
      <c r="E625" s="39">
        <v>528</v>
      </c>
      <c r="F625" s="39">
        <v>528</v>
      </c>
    </row>
    <row r="626" spans="1:6" s="199" customFormat="1" x14ac:dyDescent="0.2">
      <c r="A626" s="82" t="s">
        <v>534</v>
      </c>
      <c r="B626" s="82" t="s">
        <v>748</v>
      </c>
      <c r="C626" s="173" t="s">
        <v>749</v>
      </c>
      <c r="D626" s="39">
        <v>15</v>
      </c>
      <c r="E626" s="39">
        <v>0</v>
      </c>
      <c r="F626" s="39">
        <v>0</v>
      </c>
    </row>
    <row r="627" spans="1:6" x14ac:dyDescent="0.2">
      <c r="A627" s="82" t="s">
        <v>534</v>
      </c>
      <c r="B627" s="82" t="s">
        <v>131</v>
      </c>
      <c r="C627" s="98" t="s">
        <v>132</v>
      </c>
      <c r="D627" s="39">
        <f>602+4630+40+960-18.8-15</f>
        <v>6198.2</v>
      </c>
      <c r="E627" s="39">
        <v>602</v>
      </c>
      <c r="F627" s="39">
        <v>602</v>
      </c>
    </row>
    <row r="628" spans="1:6" ht="25.5" x14ac:dyDescent="0.2">
      <c r="A628" s="143">
        <v>9940026500</v>
      </c>
      <c r="B628" s="1"/>
      <c r="C628" s="99" t="s">
        <v>602</v>
      </c>
      <c r="D628" s="39">
        <f>D629</f>
        <v>25</v>
      </c>
      <c r="E628" s="39">
        <f t="shared" ref="E628:F628" si="194">E629</f>
        <v>0</v>
      </c>
      <c r="F628" s="39">
        <f t="shared" si="194"/>
        <v>0</v>
      </c>
    </row>
    <row r="629" spans="1:6" x14ac:dyDescent="0.2">
      <c r="A629" s="143">
        <v>9940026500</v>
      </c>
      <c r="B629" s="82" t="s">
        <v>603</v>
      </c>
      <c r="C629" s="1" t="s">
        <v>604</v>
      </c>
      <c r="D629" s="39">
        <v>25</v>
      </c>
      <c r="E629" s="39">
        <v>0</v>
      </c>
      <c r="F629" s="39">
        <v>0</v>
      </c>
    </row>
    <row r="630" spans="1:6" ht="38.25" x14ac:dyDescent="0.2">
      <c r="A630" s="82" t="s">
        <v>567</v>
      </c>
      <c r="B630" s="16"/>
      <c r="C630" s="54" t="s">
        <v>566</v>
      </c>
      <c r="D630" s="41">
        <f>SUM(D631:D631)</f>
        <v>300</v>
      </c>
      <c r="E630" s="41">
        <f>SUM(E631:E631)</f>
        <v>0</v>
      </c>
      <c r="F630" s="41">
        <f>SUM(F631:F631)</f>
        <v>0</v>
      </c>
    </row>
    <row r="631" spans="1:6" ht="38.25" x14ac:dyDescent="0.2">
      <c r="A631" s="82" t="s">
        <v>567</v>
      </c>
      <c r="B631" s="82" t="s">
        <v>211</v>
      </c>
      <c r="C631" s="98" t="s">
        <v>212</v>
      </c>
      <c r="D631" s="39">
        <v>300</v>
      </c>
      <c r="E631" s="39">
        <v>0</v>
      </c>
      <c r="F631" s="39">
        <v>0</v>
      </c>
    </row>
    <row r="632" spans="1:6" x14ac:dyDescent="0.2">
      <c r="A632" s="82" t="s">
        <v>194</v>
      </c>
      <c r="B632" s="82"/>
      <c r="C632" s="98" t="s">
        <v>285</v>
      </c>
      <c r="D632" s="39">
        <f>D633+D637+D640</f>
        <v>53044.600000000006</v>
      </c>
      <c r="E632" s="39">
        <f>E633+E637+E640</f>
        <v>46088.100000000006</v>
      </c>
      <c r="F632" s="39">
        <f>F633+F637+F640</f>
        <v>46088.100000000006</v>
      </c>
    </row>
    <row r="633" spans="1:6" ht="51" customHeight="1" x14ac:dyDescent="0.2">
      <c r="A633" s="21" t="s">
        <v>535</v>
      </c>
      <c r="B633" s="47"/>
      <c r="C633" s="54" t="s">
        <v>539</v>
      </c>
      <c r="D633" s="41">
        <f>SUM(D634:D636)</f>
        <v>7010</v>
      </c>
      <c r="E633" s="41">
        <f t="shared" ref="E633:F633" si="195">SUM(E634:E636)</f>
        <v>6772.4</v>
      </c>
      <c r="F633" s="41">
        <f t="shared" si="195"/>
        <v>6772.4</v>
      </c>
    </row>
    <row r="634" spans="1:6" ht="25.5" x14ac:dyDescent="0.2">
      <c r="A634" s="21" t="s">
        <v>535</v>
      </c>
      <c r="B634" s="16" t="s">
        <v>64</v>
      </c>
      <c r="C634" s="102" t="s">
        <v>130</v>
      </c>
      <c r="D634" s="41">
        <f>6007.4+237.6</f>
        <v>6245</v>
      </c>
      <c r="E634" s="41">
        <v>6007.4</v>
      </c>
      <c r="F634" s="41">
        <v>6007.4</v>
      </c>
    </row>
    <row r="635" spans="1:6" ht="38.25" x14ac:dyDescent="0.2">
      <c r="A635" s="21" t="s">
        <v>535</v>
      </c>
      <c r="B635" s="82" t="s">
        <v>211</v>
      </c>
      <c r="C635" s="98" t="s">
        <v>212</v>
      </c>
      <c r="D635" s="41">
        <v>760</v>
      </c>
      <c r="E635" s="41">
        <v>760</v>
      </c>
      <c r="F635" s="41">
        <v>760</v>
      </c>
    </row>
    <row r="636" spans="1:6" x14ac:dyDescent="0.2">
      <c r="A636" s="21" t="s">
        <v>535</v>
      </c>
      <c r="B636" s="82" t="s">
        <v>131</v>
      </c>
      <c r="C636" s="98" t="s">
        <v>132</v>
      </c>
      <c r="D636" s="41">
        <v>5</v>
      </c>
      <c r="E636" s="41">
        <v>5</v>
      </c>
      <c r="F636" s="41">
        <v>5</v>
      </c>
    </row>
    <row r="637" spans="1:6" ht="38.25" x14ac:dyDescent="0.2">
      <c r="A637" s="21" t="s">
        <v>536</v>
      </c>
      <c r="B637" s="47"/>
      <c r="C637" s="54" t="s">
        <v>284</v>
      </c>
      <c r="D637" s="41">
        <f>SUM(D638:D639)</f>
        <v>11238.800000000001</v>
      </c>
      <c r="E637" s="41">
        <f>SUM(E638:E639)</f>
        <v>10807.1</v>
      </c>
      <c r="F637" s="41">
        <f>SUM(F638:F639)</f>
        <v>10807.1</v>
      </c>
    </row>
    <row r="638" spans="1:6" ht="25.5" x14ac:dyDescent="0.2">
      <c r="A638" s="21" t="s">
        <v>536</v>
      </c>
      <c r="B638" s="16" t="s">
        <v>64</v>
      </c>
      <c r="C638" s="102" t="s">
        <v>130</v>
      </c>
      <c r="D638" s="41">
        <f>10020.7+431.7</f>
        <v>10452.400000000001</v>
      </c>
      <c r="E638" s="41">
        <v>10020.700000000001</v>
      </c>
      <c r="F638" s="41">
        <v>10020.700000000001</v>
      </c>
    </row>
    <row r="639" spans="1:6" ht="38.25" x14ac:dyDescent="0.2">
      <c r="A639" s="21" t="s">
        <v>536</v>
      </c>
      <c r="B639" s="82" t="s">
        <v>211</v>
      </c>
      <c r="C639" s="98" t="s">
        <v>212</v>
      </c>
      <c r="D639" s="41">
        <v>786.4</v>
      </c>
      <c r="E639" s="41">
        <v>786.4</v>
      </c>
      <c r="F639" s="41">
        <v>786.4</v>
      </c>
    </row>
    <row r="640" spans="1:6" ht="56.25" customHeight="1" x14ac:dyDescent="0.2">
      <c r="A640" s="21" t="s">
        <v>538</v>
      </c>
      <c r="B640" s="47"/>
      <c r="C640" s="54" t="s">
        <v>537</v>
      </c>
      <c r="D640" s="41">
        <f>SUM(D641:D644)</f>
        <v>34795.800000000003</v>
      </c>
      <c r="E640" s="41">
        <f>SUM(E641:E644)</f>
        <v>28508.600000000002</v>
      </c>
      <c r="F640" s="41">
        <f>SUM(F641:F644)</f>
        <v>28508.600000000002</v>
      </c>
    </row>
    <row r="641" spans="1:6" ht="25.5" x14ac:dyDescent="0.2">
      <c r="A641" s="21" t="s">
        <v>538</v>
      </c>
      <c r="B641" s="16" t="s">
        <v>64</v>
      </c>
      <c r="C641" s="102" t="s">
        <v>130</v>
      </c>
      <c r="D641" s="41">
        <f>11105.9+224.2-17.6-16.9</f>
        <v>11295.6</v>
      </c>
      <c r="E641" s="41">
        <v>11105.9</v>
      </c>
      <c r="F641" s="41">
        <v>11105.9</v>
      </c>
    </row>
    <row r="642" spans="1:6" ht="38.25" x14ac:dyDescent="0.2">
      <c r="A642" s="21" t="s">
        <v>538</v>
      </c>
      <c r="B642" s="82" t="s">
        <v>211</v>
      </c>
      <c r="C642" s="98" t="s">
        <v>212</v>
      </c>
      <c r="D642" s="41">
        <f>17241.4+6103.5</f>
        <v>23344.9</v>
      </c>
      <c r="E642" s="41">
        <v>17281.900000000001</v>
      </c>
      <c r="F642" s="41">
        <v>17281.900000000001</v>
      </c>
    </row>
    <row r="643" spans="1:6" ht="30.75" customHeight="1" x14ac:dyDescent="0.2">
      <c r="A643" s="21" t="s">
        <v>538</v>
      </c>
      <c r="B643" s="82" t="s">
        <v>260</v>
      </c>
      <c r="C643" s="98" t="s">
        <v>249</v>
      </c>
      <c r="D643" s="41">
        <f>17.6+16.9</f>
        <v>34.5</v>
      </c>
      <c r="E643" s="41">
        <v>0</v>
      </c>
      <c r="F643" s="41">
        <v>0</v>
      </c>
    </row>
    <row r="644" spans="1:6" x14ac:dyDescent="0.2">
      <c r="A644" s="21" t="s">
        <v>538</v>
      </c>
      <c r="B644" s="82" t="s">
        <v>131</v>
      </c>
      <c r="C644" s="98" t="s">
        <v>132</v>
      </c>
      <c r="D644" s="41">
        <v>120.8</v>
      </c>
      <c r="E644" s="41">
        <v>120.8</v>
      </c>
      <c r="F644" s="41">
        <v>120.8</v>
      </c>
    </row>
    <row r="645" spans="1:6" ht="38.25" x14ac:dyDescent="0.2">
      <c r="A645" s="105">
        <v>9980000000</v>
      </c>
      <c r="B645" s="106"/>
      <c r="C645" s="98" t="s">
        <v>29</v>
      </c>
      <c r="D645" s="107">
        <f>D646+D648</f>
        <v>72478.7</v>
      </c>
      <c r="E645" s="107">
        <f t="shared" ref="E645:F645" si="196">E646+E648</f>
        <v>69807.199999999997</v>
      </c>
      <c r="F645" s="107">
        <f t="shared" si="196"/>
        <v>69807.199999999997</v>
      </c>
    </row>
    <row r="646" spans="1:6" x14ac:dyDescent="0.2">
      <c r="A646" s="79">
        <v>9980022100</v>
      </c>
      <c r="B646" s="16"/>
      <c r="C646" s="22" t="s">
        <v>114</v>
      </c>
      <c r="D646" s="39">
        <f>D647</f>
        <v>2787.2000000000003</v>
      </c>
      <c r="E646" s="39">
        <f t="shared" ref="E646:F646" si="197">E647</f>
        <v>2266.3000000000002</v>
      </c>
      <c r="F646" s="39">
        <f t="shared" si="197"/>
        <v>2266.3000000000002</v>
      </c>
    </row>
    <row r="647" spans="1:6" ht="25.5" x14ac:dyDescent="0.2">
      <c r="A647" s="79">
        <v>9980022100</v>
      </c>
      <c r="B647" s="16" t="s">
        <v>62</v>
      </c>
      <c r="C647" s="99" t="s">
        <v>78</v>
      </c>
      <c r="D647" s="39">
        <f>2266.3+81.4+439.5</f>
        <v>2787.2000000000003</v>
      </c>
      <c r="E647" s="39">
        <v>2266.3000000000002</v>
      </c>
      <c r="F647" s="39">
        <v>2266.3000000000002</v>
      </c>
    </row>
    <row r="648" spans="1:6" x14ac:dyDescent="0.2">
      <c r="A648" s="138">
        <v>9980022200</v>
      </c>
      <c r="B648" s="21"/>
      <c r="C648" s="99" t="s">
        <v>115</v>
      </c>
      <c r="D648" s="39">
        <f>SUM(D649:D651)</f>
        <v>69691.5</v>
      </c>
      <c r="E648" s="39">
        <f t="shared" ref="E648:F648" si="198">SUM(E649:E651)</f>
        <v>67540.899999999994</v>
      </c>
      <c r="F648" s="39">
        <f t="shared" si="198"/>
        <v>67540.899999999994</v>
      </c>
    </row>
    <row r="649" spans="1:6" ht="25.5" x14ac:dyDescent="0.2">
      <c r="A649" s="138">
        <v>9980022200</v>
      </c>
      <c r="B649" s="16" t="s">
        <v>62</v>
      </c>
      <c r="C649" s="55" t="s">
        <v>63</v>
      </c>
      <c r="D649" s="39">
        <f>11196.4+53934.1+1687.7+431.8-27.8-25.4-40+218.5</f>
        <v>67375.3</v>
      </c>
      <c r="E649" s="39">
        <f>11196.4+53934.1</f>
        <v>65130.5</v>
      </c>
      <c r="F649" s="39">
        <f>11196.4+53934.1</f>
        <v>65130.5</v>
      </c>
    </row>
    <row r="650" spans="1:6" ht="38.25" x14ac:dyDescent="0.2">
      <c r="A650" s="138">
        <v>9980022200</v>
      </c>
      <c r="B650" s="82" t="s">
        <v>211</v>
      </c>
      <c r="C650" s="98" t="s">
        <v>212</v>
      </c>
      <c r="D650" s="39">
        <f>536.3+1874.1+71.1-218.5</f>
        <v>2262.9999999999995</v>
      </c>
      <c r="E650" s="39">
        <f t="shared" ref="E650:F650" si="199">536.3+1874.1</f>
        <v>2410.3999999999996</v>
      </c>
      <c r="F650" s="39">
        <f t="shared" si="199"/>
        <v>2410.3999999999996</v>
      </c>
    </row>
    <row r="651" spans="1:6" ht="24.75" customHeight="1" x14ac:dyDescent="0.2">
      <c r="A651" s="138">
        <v>9980022200</v>
      </c>
      <c r="B651" s="82" t="s">
        <v>260</v>
      </c>
      <c r="C651" s="98" t="s">
        <v>249</v>
      </c>
      <c r="D651" s="39">
        <f>27.8+25.4</f>
        <v>53.2</v>
      </c>
      <c r="E651" s="39">
        <v>0</v>
      </c>
      <c r="F651" s="39">
        <v>0</v>
      </c>
    </row>
    <row r="652" spans="1:6" s="32" customFormat="1" ht="38.25" x14ac:dyDescent="0.2">
      <c r="A652" s="79">
        <v>9990000000</v>
      </c>
      <c r="B652" s="16"/>
      <c r="C652" s="54" t="s">
        <v>28</v>
      </c>
      <c r="D652" s="41">
        <f>D653+D655+D658+D660</f>
        <v>6618.3</v>
      </c>
      <c r="E652" s="41">
        <f t="shared" ref="E652:F652" si="200">E653+E655+E658+E660</f>
        <v>6384.5000000000009</v>
      </c>
      <c r="F652" s="41">
        <f t="shared" si="200"/>
        <v>6384.5000000000009</v>
      </c>
    </row>
    <row r="653" spans="1:6" s="32" customFormat="1" ht="14.25" x14ac:dyDescent="0.2">
      <c r="A653" s="79">
        <v>9990022400</v>
      </c>
      <c r="B653" s="16"/>
      <c r="C653" s="98" t="s">
        <v>139</v>
      </c>
      <c r="D653" s="41">
        <f>D654</f>
        <v>1714.7</v>
      </c>
      <c r="E653" s="41">
        <f>E654</f>
        <v>1652.8</v>
      </c>
      <c r="F653" s="41">
        <f>F654</f>
        <v>1652.8</v>
      </c>
    </row>
    <row r="654" spans="1:6" s="32" customFormat="1" ht="25.5" x14ac:dyDescent="0.2">
      <c r="A654" s="79">
        <v>9990022400</v>
      </c>
      <c r="B654" s="16" t="s">
        <v>62</v>
      </c>
      <c r="C654" s="55" t="s">
        <v>63</v>
      </c>
      <c r="D654" s="39">
        <f>1652.8+61.9</f>
        <v>1714.7</v>
      </c>
      <c r="E654" s="39">
        <v>1652.8</v>
      </c>
      <c r="F654" s="39">
        <v>1652.8</v>
      </c>
    </row>
    <row r="655" spans="1:6" s="32" customFormat="1" ht="25.5" x14ac:dyDescent="0.2">
      <c r="A655" s="79">
        <v>9990022500</v>
      </c>
      <c r="B655" s="21"/>
      <c r="C655" s="99" t="s">
        <v>589</v>
      </c>
      <c r="D655" s="41">
        <f>SUM(D656:D657)</f>
        <v>2828.1</v>
      </c>
      <c r="E655" s="41">
        <f>SUM(E656:E657)</f>
        <v>2767.5</v>
      </c>
      <c r="F655" s="41">
        <f>SUM(F656:F657)</f>
        <v>2767.5</v>
      </c>
    </row>
    <row r="656" spans="1:6" s="32" customFormat="1" ht="25.5" x14ac:dyDescent="0.2">
      <c r="A656" s="79">
        <v>9990022500</v>
      </c>
      <c r="B656" s="16" t="s">
        <v>62</v>
      </c>
      <c r="C656" s="55" t="s">
        <v>63</v>
      </c>
      <c r="D656" s="39">
        <f>2650.5+60.6</f>
        <v>2711.1</v>
      </c>
      <c r="E656" s="39">
        <v>2650.5</v>
      </c>
      <c r="F656" s="39">
        <v>2650.5</v>
      </c>
    </row>
    <row r="657" spans="1:6" s="32" customFormat="1" ht="38.25" x14ac:dyDescent="0.2">
      <c r="A657" s="79">
        <v>9990022500</v>
      </c>
      <c r="B657" s="82" t="s">
        <v>211</v>
      </c>
      <c r="C657" s="98" t="s">
        <v>212</v>
      </c>
      <c r="D657" s="39">
        <f>117+150-150</f>
        <v>117</v>
      </c>
      <c r="E657" s="39">
        <v>117</v>
      </c>
      <c r="F657" s="39">
        <v>117</v>
      </c>
    </row>
    <row r="658" spans="1:6" s="32" customFormat="1" ht="18" customHeight="1" x14ac:dyDescent="0.2">
      <c r="A658" s="79">
        <v>9990022350</v>
      </c>
      <c r="B658" s="16"/>
      <c r="C658" s="98" t="s">
        <v>662</v>
      </c>
      <c r="D658" s="39">
        <f>D659</f>
        <v>1298.2000000000003</v>
      </c>
      <c r="E658" s="39">
        <f t="shared" ref="E658:F658" si="201">E659</f>
        <v>1291.4000000000001</v>
      </c>
      <c r="F658" s="39">
        <f t="shared" si="201"/>
        <v>1291.4000000000001</v>
      </c>
    </row>
    <row r="659" spans="1:6" s="32" customFormat="1" ht="25.5" x14ac:dyDescent="0.2">
      <c r="A659" s="79">
        <v>9990022350</v>
      </c>
      <c r="B659" s="16" t="s">
        <v>62</v>
      </c>
      <c r="C659" s="99" t="s">
        <v>78</v>
      </c>
      <c r="D659" s="39">
        <f>1291.4+56.4-49.6</f>
        <v>1298.2000000000003</v>
      </c>
      <c r="E659" s="39">
        <v>1291.4000000000001</v>
      </c>
      <c r="F659" s="39">
        <v>1291.4000000000001</v>
      </c>
    </row>
    <row r="660" spans="1:6" s="32" customFormat="1" ht="25.5" x14ac:dyDescent="0.2">
      <c r="A660" s="79">
        <v>9990022300</v>
      </c>
      <c r="B660" s="21"/>
      <c r="C660" s="99" t="s">
        <v>200</v>
      </c>
      <c r="D660" s="41">
        <f>D661+D662</f>
        <v>777.3</v>
      </c>
      <c r="E660" s="41">
        <f>E661+E662</f>
        <v>672.8</v>
      </c>
      <c r="F660" s="41">
        <f>F661+F662</f>
        <v>672.8</v>
      </c>
    </row>
    <row r="661" spans="1:6" s="32" customFormat="1" ht="25.5" x14ac:dyDescent="0.2">
      <c r="A661" s="79">
        <v>9990022300</v>
      </c>
      <c r="B661" s="16" t="s">
        <v>62</v>
      </c>
      <c r="C661" s="99" t="s">
        <v>78</v>
      </c>
      <c r="D661" s="39">
        <f>694.3+30.4-15.8+47.6</f>
        <v>756.5</v>
      </c>
      <c r="E661" s="39">
        <v>669.3</v>
      </c>
      <c r="F661" s="39">
        <v>669.3</v>
      </c>
    </row>
    <row r="662" spans="1:6" s="32" customFormat="1" ht="38.25" x14ac:dyDescent="0.2">
      <c r="A662" s="79">
        <v>9990022300</v>
      </c>
      <c r="B662" s="82" t="s">
        <v>211</v>
      </c>
      <c r="C662" s="98" t="s">
        <v>212</v>
      </c>
      <c r="D662" s="39">
        <f>50.1-47.1+15.8+2</f>
        <v>20.8</v>
      </c>
      <c r="E662" s="39">
        <v>3.5</v>
      </c>
      <c r="F662" s="39">
        <v>3.5</v>
      </c>
    </row>
  </sheetData>
  <mergeCells count="7">
    <mergeCell ref="A15:F15"/>
    <mergeCell ref="B18:B20"/>
    <mergeCell ref="A18:A20"/>
    <mergeCell ref="C18:C20"/>
    <mergeCell ref="D18:F18"/>
    <mergeCell ref="D19:D20"/>
    <mergeCell ref="E19:F19"/>
  </mergeCells>
  <phoneticPr fontId="2" type="noConversion"/>
  <pageMargins left="0.75" right="0.75" top="0.81" bottom="0.71" header="0.5" footer="0.5"/>
  <pageSetup paperSize="9" fitToHeight="0" orientation="portrait" r:id="rId1"/>
  <headerFooter alignWithMargins="0">
    <oddFooter>&amp;R&amp;P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tabSelected="1" view="pageBreakPreview" zoomScale="60" zoomScaleNormal="100" workbookViewId="0">
      <selection activeCell="H10" sqref="H10"/>
    </sheetView>
  </sheetViews>
  <sheetFormatPr defaultColWidth="9.140625" defaultRowHeight="12.75" x14ac:dyDescent="0.2"/>
  <cols>
    <col min="1" max="1" width="11.28515625" style="184" customWidth="1"/>
    <col min="2" max="2" width="4.85546875" style="184" customWidth="1"/>
    <col min="3" max="3" width="6.42578125" style="184" customWidth="1"/>
    <col min="4" max="4" width="10.5703125" style="184" customWidth="1"/>
    <col min="5" max="5" width="6.42578125" style="184" customWidth="1"/>
    <col min="6" max="6" width="9.42578125" style="184" customWidth="1"/>
    <col min="7" max="7" width="5.28515625" style="184" customWidth="1"/>
    <col min="8" max="8" width="10.85546875" style="184" customWidth="1"/>
    <col min="9" max="9" width="7.5703125" style="184" customWidth="1"/>
    <col min="10" max="10" width="8.28515625" style="184" customWidth="1"/>
    <col min="11" max="11" width="8.140625" style="184" customWidth="1"/>
    <col min="12" max="16384" width="9.140625" style="184"/>
  </cols>
  <sheetData>
    <row r="1" spans="1:11" x14ac:dyDescent="0.2">
      <c r="B1" s="185" t="s">
        <v>779</v>
      </c>
    </row>
    <row r="2" spans="1:11" x14ac:dyDescent="0.2">
      <c r="B2" s="185" t="s">
        <v>780</v>
      </c>
    </row>
    <row r="3" spans="1:11" x14ac:dyDescent="0.2">
      <c r="B3" s="185" t="s">
        <v>831</v>
      </c>
    </row>
    <row r="4" spans="1:11" x14ac:dyDescent="0.2">
      <c r="B4" s="185" t="s">
        <v>621</v>
      </c>
    </row>
    <row r="5" spans="1:11" x14ac:dyDescent="0.2">
      <c r="B5" s="185" t="s">
        <v>682</v>
      </c>
    </row>
    <row r="6" spans="1:11" x14ac:dyDescent="0.2">
      <c r="B6" s="185" t="s">
        <v>781</v>
      </c>
    </row>
    <row r="7" spans="1:11" x14ac:dyDescent="0.2">
      <c r="B7" s="185" t="s">
        <v>782</v>
      </c>
    </row>
    <row r="9" spans="1:11" ht="13.5" customHeight="1" x14ac:dyDescent="0.2"/>
    <row r="10" spans="1:11" x14ac:dyDescent="0.2">
      <c r="B10" s="185" t="s">
        <v>779</v>
      </c>
      <c r="C10" s="186"/>
      <c r="D10" s="186"/>
      <c r="E10" s="186"/>
      <c r="F10" s="186"/>
      <c r="G10" s="186"/>
      <c r="H10" s="186"/>
      <c r="I10" s="186"/>
    </row>
    <row r="11" spans="1:11" x14ac:dyDescent="0.2">
      <c r="B11" s="185" t="s">
        <v>780</v>
      </c>
      <c r="C11" s="185"/>
      <c r="D11" s="185"/>
      <c r="E11" s="185"/>
      <c r="F11" s="185"/>
      <c r="G11" s="185"/>
      <c r="H11" s="185"/>
      <c r="I11" s="185"/>
    </row>
    <row r="12" spans="1:11" x14ac:dyDescent="0.2">
      <c r="B12" s="185" t="s">
        <v>685</v>
      </c>
      <c r="C12" s="185"/>
      <c r="D12" s="185"/>
      <c r="E12" s="185"/>
      <c r="F12" s="185"/>
      <c r="G12" s="185"/>
      <c r="H12" s="185"/>
      <c r="I12" s="185"/>
    </row>
    <row r="13" spans="1:11" x14ac:dyDescent="0.2">
      <c r="B13" s="185" t="s">
        <v>781</v>
      </c>
      <c r="C13" s="185"/>
      <c r="D13" s="186"/>
      <c r="E13" s="186"/>
      <c r="F13" s="186"/>
      <c r="G13" s="186"/>
      <c r="H13" s="186"/>
      <c r="I13" s="186"/>
    </row>
    <row r="14" spans="1:11" x14ac:dyDescent="0.2">
      <c r="B14" s="185" t="s">
        <v>782</v>
      </c>
      <c r="C14" s="187"/>
      <c r="D14" s="187"/>
      <c r="E14" s="187"/>
      <c r="F14" s="187"/>
      <c r="G14" s="187"/>
      <c r="H14" s="187"/>
      <c r="I14" s="187"/>
      <c r="J14" s="187"/>
      <c r="K14" s="187"/>
    </row>
    <row r="15" spans="1:11" x14ac:dyDescent="0.2">
      <c r="D15" s="7"/>
    </row>
    <row r="16" spans="1:11" ht="51" customHeight="1" x14ac:dyDescent="0.2">
      <c r="A16" s="237" t="s">
        <v>783</v>
      </c>
      <c r="B16" s="237"/>
      <c r="C16" s="237"/>
      <c r="D16" s="237"/>
      <c r="E16" s="251"/>
      <c r="F16" s="251"/>
      <c r="G16" s="251"/>
      <c r="H16" s="251"/>
      <c r="I16" s="251"/>
      <c r="J16" s="251"/>
      <c r="K16" s="251"/>
    </row>
    <row r="17" spans="1:11" ht="18" x14ac:dyDescent="0.25">
      <c r="A17" s="188"/>
      <c r="B17" s="183"/>
      <c r="C17" s="183"/>
      <c r="D17" s="183"/>
    </row>
    <row r="18" spans="1:11" ht="18" x14ac:dyDescent="0.25">
      <c r="C18" s="189"/>
    </row>
    <row r="19" spans="1:11" x14ac:dyDescent="0.2">
      <c r="A19" s="241" t="s">
        <v>784</v>
      </c>
      <c r="B19" s="241" t="s">
        <v>785</v>
      </c>
      <c r="C19" s="261" t="s">
        <v>786</v>
      </c>
      <c r="D19" s="265"/>
      <c r="E19" s="266"/>
      <c r="F19" s="236" t="s">
        <v>787</v>
      </c>
      <c r="G19" s="269" t="s">
        <v>788</v>
      </c>
      <c r="H19" s="270"/>
      <c r="I19" s="256" t="s">
        <v>27</v>
      </c>
      <c r="J19" s="236"/>
      <c r="K19" s="236"/>
    </row>
    <row r="20" spans="1:11" x14ac:dyDescent="0.2">
      <c r="A20" s="242"/>
      <c r="B20" s="242"/>
      <c r="C20" s="262"/>
      <c r="D20" s="267"/>
      <c r="E20" s="268"/>
      <c r="F20" s="236"/>
      <c r="G20" s="271"/>
      <c r="H20" s="272"/>
      <c r="I20" s="247" t="s">
        <v>464</v>
      </c>
      <c r="J20" s="236" t="s">
        <v>140</v>
      </c>
      <c r="K20" s="236"/>
    </row>
    <row r="21" spans="1:11" ht="25.5" x14ac:dyDescent="0.2">
      <c r="A21" s="243"/>
      <c r="B21" s="264"/>
      <c r="C21" s="181" t="s">
        <v>789</v>
      </c>
      <c r="D21" s="190" t="s">
        <v>790</v>
      </c>
      <c r="E21" s="182" t="s">
        <v>791</v>
      </c>
      <c r="F21" s="236"/>
      <c r="G21" s="1" t="s">
        <v>792</v>
      </c>
      <c r="H21" s="1" t="s">
        <v>793</v>
      </c>
      <c r="I21" s="248"/>
      <c r="J21" s="180" t="s">
        <v>590</v>
      </c>
      <c r="K21" s="180" t="s">
        <v>655</v>
      </c>
    </row>
    <row r="22" spans="1:11" x14ac:dyDescent="0.2">
      <c r="A22" s="236" t="s">
        <v>794</v>
      </c>
      <c r="B22" s="236"/>
      <c r="C22" s="236"/>
      <c r="D22" s="236"/>
      <c r="E22" s="236"/>
      <c r="F22" s="236"/>
      <c r="G22" s="236"/>
      <c r="H22" s="236"/>
      <c r="I22" s="236"/>
      <c r="J22" s="236"/>
      <c r="K22" s="236"/>
    </row>
    <row r="23" spans="1:11" ht="382.5" x14ac:dyDescent="0.2">
      <c r="A23" s="191" t="s">
        <v>182</v>
      </c>
      <c r="B23" s="192" t="s">
        <v>88</v>
      </c>
      <c r="C23" s="193" t="s">
        <v>795</v>
      </c>
      <c r="D23" s="194">
        <v>40899</v>
      </c>
      <c r="E23" s="180" t="s">
        <v>796</v>
      </c>
      <c r="F23" s="180" t="s">
        <v>797</v>
      </c>
      <c r="G23" s="1" t="s">
        <v>798</v>
      </c>
      <c r="H23" s="79">
        <v>140210560</v>
      </c>
      <c r="I23" s="195">
        <f>1026-54</f>
        <v>972</v>
      </c>
      <c r="J23" s="195">
        <f>1026-54</f>
        <v>972</v>
      </c>
      <c r="K23" s="195">
        <f>1026-54</f>
        <v>972</v>
      </c>
    </row>
    <row r="24" spans="1:11" ht="24.75" customHeight="1" x14ac:dyDescent="0.2">
      <c r="A24" s="236" t="s">
        <v>799</v>
      </c>
      <c r="B24" s="236"/>
      <c r="C24" s="236"/>
      <c r="D24" s="236"/>
      <c r="E24" s="236"/>
      <c r="F24" s="236"/>
      <c r="G24" s="236"/>
      <c r="H24" s="236"/>
      <c r="I24" s="236"/>
      <c r="J24" s="236"/>
      <c r="K24" s="236"/>
    </row>
    <row r="25" spans="1:11" ht="204" x14ac:dyDescent="0.2">
      <c r="A25" s="22" t="s">
        <v>362</v>
      </c>
      <c r="B25" s="82" t="s">
        <v>89</v>
      </c>
      <c r="C25" s="97" t="s">
        <v>800</v>
      </c>
      <c r="D25" s="194">
        <v>42723</v>
      </c>
      <c r="E25" s="196">
        <v>115</v>
      </c>
      <c r="F25" s="180" t="s">
        <v>801</v>
      </c>
      <c r="G25" s="1" t="s">
        <v>802</v>
      </c>
      <c r="H25" s="79">
        <v>1320225100</v>
      </c>
      <c r="I25" s="39">
        <f>2338.3+1303.7</f>
        <v>3642</v>
      </c>
      <c r="J25" s="39">
        <v>2338.3000000000002</v>
      </c>
      <c r="K25" s="39">
        <v>2338.3000000000002</v>
      </c>
    </row>
  </sheetData>
  <mergeCells count="11">
    <mergeCell ref="A22:K22"/>
    <mergeCell ref="A24:K24"/>
    <mergeCell ref="A16:K16"/>
    <mergeCell ref="A19:A21"/>
    <mergeCell ref="B19:B21"/>
    <mergeCell ref="C19:E20"/>
    <mergeCell ref="F19:F21"/>
    <mergeCell ref="G19:H20"/>
    <mergeCell ref="I19:K19"/>
    <mergeCell ref="I20:I21"/>
    <mergeCell ref="J20:K2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6</vt:i4>
      </vt:variant>
    </vt:vector>
  </HeadingPairs>
  <TitlesOfParts>
    <vt:vector size="6" baseType="lpstr">
      <vt:lpstr>прил.1</vt:lpstr>
      <vt:lpstr>прил.3</vt:lpstr>
      <vt:lpstr>прил.4</vt:lpstr>
      <vt:lpstr>прил.5</vt:lpstr>
      <vt:lpstr>прил.6</vt:lpstr>
      <vt:lpstr>прил.7</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Пользователь</cp:lastModifiedBy>
  <cp:lastPrinted>2024-10-24T11:01:12Z</cp:lastPrinted>
  <dcterms:created xsi:type="dcterms:W3CDTF">2007-02-27T13:35:41Z</dcterms:created>
  <dcterms:modified xsi:type="dcterms:W3CDTF">2024-10-24T11:02:14Z</dcterms:modified>
</cp:coreProperties>
</file>