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120" yWindow="-120" windowWidth="23250" windowHeight="13170" activeTab="4"/>
  </bookViews>
  <sheets>
    <sheet name="прил.1" sheetId="62" r:id="rId1"/>
    <sheet name="прил.3" sheetId="1" r:id="rId2"/>
    <sheet name="прил.4" sheetId="61" r:id="rId3"/>
    <sheet name="прил.5" sheetId="2" r:id="rId4"/>
    <sheet name="прил.6" sheetId="3" r:id="rId5"/>
  </sheets>
  <calcPr calcId="145621"/>
</workbook>
</file>

<file path=xl/calcChain.xml><?xml version="1.0" encoding="utf-8"?>
<calcChain xmlns="http://schemas.openxmlformats.org/spreadsheetml/2006/main">
  <c r="D415" i="3" l="1"/>
  <c r="D243" i="3"/>
  <c r="D236" i="3"/>
  <c r="H203" i="2"/>
  <c r="H83" i="2"/>
  <c r="H76" i="2"/>
  <c r="F202" i="61"/>
  <c r="F86" i="61"/>
  <c r="F79" i="61"/>
  <c r="E39" i="1"/>
  <c r="E31" i="1"/>
  <c r="E393" i="3" l="1"/>
  <c r="F393" i="3"/>
  <c r="I258" i="2"/>
  <c r="J258" i="2"/>
  <c r="G250" i="61"/>
  <c r="H250" i="61"/>
  <c r="F259" i="3"/>
  <c r="E259" i="3"/>
  <c r="D259" i="3"/>
  <c r="J160" i="2"/>
  <c r="I160" i="2"/>
  <c r="H160" i="2"/>
  <c r="F161" i="61"/>
  <c r="F490" i="3" l="1"/>
  <c r="E490" i="3"/>
  <c r="D490" i="3"/>
  <c r="F488" i="3"/>
  <c r="F487" i="3" s="1"/>
  <c r="E488" i="3"/>
  <c r="D488" i="3"/>
  <c r="E487" i="3"/>
  <c r="J370" i="2"/>
  <c r="I370" i="2"/>
  <c r="H370" i="2"/>
  <c r="G345" i="61"/>
  <c r="H345" i="61"/>
  <c r="F345" i="61"/>
  <c r="D555" i="3"/>
  <c r="H415" i="2"/>
  <c r="F382" i="61"/>
  <c r="D237" i="3"/>
  <c r="H77" i="2"/>
  <c r="F80" i="61"/>
  <c r="F177" i="61"/>
  <c r="D425" i="3"/>
  <c r="H177" i="2"/>
  <c r="D487" i="3" l="1"/>
  <c r="F363" i="61"/>
  <c r="D512" i="3"/>
  <c r="H392" i="2"/>
  <c r="D175" i="3" l="1"/>
  <c r="H710" i="2"/>
  <c r="F572" i="61"/>
  <c r="H343" i="61"/>
  <c r="G343" i="61"/>
  <c r="F343" i="61"/>
  <c r="H368" i="2"/>
  <c r="H367" i="2" s="1"/>
  <c r="J368" i="2"/>
  <c r="J367" i="2" s="1"/>
  <c r="I368" i="2"/>
  <c r="I367" i="2" s="1"/>
  <c r="D598" i="3" l="1"/>
  <c r="H99" i="2"/>
  <c r="F102" i="61"/>
  <c r="D258" i="3" l="1"/>
  <c r="H159" i="2"/>
  <c r="F160" i="61"/>
  <c r="D356" i="3" l="1"/>
  <c r="D355" i="3"/>
  <c r="D354" i="3"/>
  <c r="D353" i="3" s="1"/>
  <c r="H348" i="2"/>
  <c r="H347" i="2" s="1"/>
  <c r="H346" i="2"/>
  <c r="H345" i="2" s="1"/>
  <c r="F326" i="61"/>
  <c r="F324" i="61"/>
  <c r="E578" i="3" l="1"/>
  <c r="E577" i="3" s="1"/>
  <c r="F578" i="3"/>
  <c r="F577" i="3" s="1"/>
  <c r="D581" i="3"/>
  <c r="D578" i="3" s="1"/>
  <c r="J418" i="2"/>
  <c r="J417" i="2" s="1"/>
  <c r="J416" i="2" s="1"/>
  <c r="I418" i="2"/>
  <c r="I417" i="2" s="1"/>
  <c r="I416" i="2" s="1"/>
  <c r="H418" i="2"/>
  <c r="H417" i="2" s="1"/>
  <c r="H416" i="2" s="1"/>
  <c r="H385" i="61"/>
  <c r="H384" i="61" s="1"/>
  <c r="H383" i="61" s="1"/>
  <c r="G385" i="61"/>
  <c r="G384" i="61" s="1"/>
  <c r="G383" i="61" s="1"/>
  <c r="F385" i="61"/>
  <c r="F384" i="61" s="1"/>
  <c r="F383" i="61" s="1"/>
  <c r="E30" i="1"/>
  <c r="H761" i="2"/>
  <c r="F68" i="61"/>
  <c r="F133" i="61" l="1"/>
  <c r="H133" i="2"/>
  <c r="D462" i="3"/>
  <c r="D460" i="3"/>
  <c r="H131" i="2"/>
  <c r="F131" i="61"/>
  <c r="D241" i="3" l="1"/>
  <c r="H81" i="2"/>
  <c r="F84" i="61" l="1"/>
  <c r="D628" i="3" l="1"/>
  <c r="D346" i="3"/>
  <c r="H289" i="2"/>
  <c r="H32" i="2"/>
  <c r="F276" i="61"/>
  <c r="F36" i="61"/>
  <c r="E42" i="1"/>
  <c r="E26" i="1"/>
  <c r="F27" i="62"/>
  <c r="F29" i="62"/>
  <c r="H444" i="2" l="1"/>
  <c r="H443" i="2" s="1"/>
  <c r="H442" i="2" s="1"/>
  <c r="H441" i="2" s="1"/>
  <c r="J443" i="2"/>
  <c r="J442" i="2" s="1"/>
  <c r="J441" i="2" s="1"/>
  <c r="I443" i="2"/>
  <c r="I442" i="2" s="1"/>
  <c r="I441" i="2" s="1"/>
  <c r="F614" i="61"/>
  <c r="F613" i="61" s="1"/>
  <c r="F612" i="61" s="1"/>
  <c r="F611" i="61" s="1"/>
  <c r="H613" i="61"/>
  <c r="H612" i="61" s="1"/>
  <c r="H611" i="61" s="1"/>
  <c r="G613" i="61"/>
  <c r="G612" i="61" s="1"/>
  <c r="G611" i="61" s="1"/>
  <c r="E58" i="1" l="1"/>
  <c r="D411" i="3"/>
  <c r="H199" i="2"/>
  <c r="F198" i="61"/>
  <c r="E160" i="3" l="1"/>
  <c r="F160" i="3"/>
  <c r="E161" i="3"/>
  <c r="F161" i="3"/>
  <c r="I702" i="2"/>
  <c r="J702" i="2"/>
  <c r="I703" i="2"/>
  <c r="J703" i="2"/>
  <c r="G565" i="61"/>
  <c r="H565" i="61"/>
  <c r="G566" i="61"/>
  <c r="H566" i="61"/>
  <c r="F260" i="61" l="1"/>
  <c r="H270" i="2"/>
  <c r="D407" i="3"/>
  <c r="H195" i="2"/>
  <c r="F194" i="61"/>
  <c r="F511" i="3" l="1"/>
  <c r="E511" i="3"/>
  <c r="D511" i="3"/>
  <c r="J391" i="2"/>
  <c r="I391" i="2"/>
  <c r="H391" i="2"/>
  <c r="G362" i="61"/>
  <c r="H362" i="61"/>
  <c r="F362" i="61"/>
  <c r="H79" i="2" l="1"/>
  <c r="F82" i="61"/>
  <c r="F476" i="3"/>
  <c r="E476" i="3"/>
  <c r="D476" i="3"/>
  <c r="J356" i="2"/>
  <c r="I356" i="2"/>
  <c r="H356" i="2"/>
  <c r="G337" i="61"/>
  <c r="H337" i="61"/>
  <c r="F337" i="61"/>
  <c r="D155" i="3" l="1"/>
  <c r="H697" i="2"/>
  <c r="F560" i="61"/>
  <c r="D504" i="3" l="1"/>
  <c r="H384" i="2"/>
  <c r="F356" i="61"/>
  <c r="H85" i="61" l="1"/>
  <c r="G85" i="61"/>
  <c r="F85" i="61"/>
  <c r="J82" i="2"/>
  <c r="I82" i="2"/>
  <c r="H82" i="2"/>
  <c r="E242" i="3"/>
  <c r="F242" i="3"/>
  <c r="D239" i="3"/>
  <c r="D242" i="3"/>
  <c r="D554" i="3" l="1"/>
  <c r="D553" i="3" s="1"/>
  <c r="D552" i="3" s="1"/>
  <c r="F554" i="3"/>
  <c r="F553" i="3" s="1"/>
  <c r="F552" i="3" s="1"/>
  <c r="E554" i="3"/>
  <c r="E553" i="3" s="1"/>
  <c r="E552" i="3" s="1"/>
  <c r="H414" i="2"/>
  <c r="H413" i="2" s="1"/>
  <c r="H412" i="2" s="1"/>
  <c r="J414" i="2"/>
  <c r="J413" i="2" s="1"/>
  <c r="J412" i="2" s="1"/>
  <c r="I414" i="2"/>
  <c r="I413" i="2" s="1"/>
  <c r="I412" i="2" s="1"/>
  <c r="G381" i="61"/>
  <c r="G380" i="61" s="1"/>
  <c r="H381" i="61"/>
  <c r="H380" i="61" s="1"/>
  <c r="F381" i="61"/>
  <c r="F380" i="61" s="1"/>
  <c r="F293" i="61" l="1"/>
  <c r="H308" i="2"/>
  <c r="D318" i="3"/>
  <c r="F337" i="3" l="1"/>
  <c r="E337" i="3"/>
  <c r="D337" i="3"/>
  <c r="J280" i="2"/>
  <c r="I280" i="2"/>
  <c r="H280" i="2"/>
  <c r="G268" i="61"/>
  <c r="H268" i="61"/>
  <c r="F268" i="61"/>
  <c r="D327" i="3"/>
  <c r="D340" i="3"/>
  <c r="H283" i="2"/>
  <c r="F271" i="61"/>
  <c r="H161" i="61" l="1"/>
  <c r="G161" i="61"/>
  <c r="D633" i="3" l="1"/>
  <c r="D632" i="3"/>
  <c r="H41" i="2"/>
  <c r="H40" i="2"/>
  <c r="F63" i="61"/>
  <c r="F62" i="61"/>
  <c r="F176" i="3" l="1"/>
  <c r="E176" i="3"/>
  <c r="D176" i="3"/>
  <c r="J711" i="2"/>
  <c r="I711" i="2"/>
  <c r="H711" i="2"/>
  <c r="D161" i="3"/>
  <c r="D160" i="3"/>
  <c r="H703" i="2"/>
  <c r="H702" i="2"/>
  <c r="F566" i="61"/>
  <c r="F565" i="61"/>
  <c r="F573" i="61"/>
  <c r="G573" i="61"/>
  <c r="H573" i="61"/>
  <c r="F267" i="61" l="1"/>
  <c r="H278" i="2"/>
  <c r="D335" i="3"/>
  <c r="D323" i="3"/>
  <c r="H266" i="2"/>
  <c r="F257" i="61"/>
  <c r="D372" i="3" l="1"/>
  <c r="D371" i="3" s="1"/>
  <c r="F371" i="3"/>
  <c r="E371" i="3"/>
  <c r="H324" i="2"/>
  <c r="H323" i="2" s="1"/>
  <c r="J323" i="2"/>
  <c r="I323" i="2"/>
  <c r="G305" i="61"/>
  <c r="H305" i="61"/>
  <c r="F306" i="61"/>
  <c r="F305" i="61" s="1"/>
  <c r="E55" i="1" l="1"/>
  <c r="F190" i="3"/>
  <c r="E190" i="3"/>
  <c r="D190" i="3"/>
  <c r="J730" i="2"/>
  <c r="I730" i="2"/>
  <c r="H730" i="2"/>
  <c r="H589" i="61"/>
  <c r="G589" i="61"/>
  <c r="F589" i="61"/>
  <c r="F168" i="3" l="1"/>
  <c r="E168" i="3"/>
  <c r="D168" i="3"/>
  <c r="J647" i="2"/>
  <c r="I647" i="2"/>
  <c r="H647" i="2"/>
  <c r="G478" i="61"/>
  <c r="H478" i="61"/>
  <c r="F478" i="61"/>
  <c r="F104" i="3"/>
  <c r="E104" i="3"/>
  <c r="D104" i="3"/>
  <c r="J555" i="2"/>
  <c r="I555" i="2"/>
  <c r="H555" i="2"/>
  <c r="H461" i="61"/>
  <c r="G461" i="61"/>
  <c r="F461" i="61"/>
  <c r="E52" i="1"/>
  <c r="D140" i="3"/>
  <c r="D139" i="3" s="1"/>
  <c r="F139" i="3"/>
  <c r="E139" i="3"/>
  <c r="H610" i="2"/>
  <c r="H609" i="2" s="1"/>
  <c r="J609" i="2"/>
  <c r="I609" i="2"/>
  <c r="F544" i="61"/>
  <c r="F43" i="3" l="1"/>
  <c r="E43" i="3"/>
  <c r="D43" i="3"/>
  <c r="J497" i="2"/>
  <c r="I497" i="2"/>
  <c r="H497" i="2"/>
  <c r="H410" i="61"/>
  <c r="G410" i="61"/>
  <c r="F410" i="61"/>
  <c r="F28" i="3"/>
  <c r="E28" i="3"/>
  <c r="D28" i="3"/>
  <c r="J484" i="2"/>
  <c r="I484" i="2"/>
  <c r="H484" i="2"/>
  <c r="H399" i="61"/>
  <c r="G399" i="61"/>
  <c r="F399" i="61"/>
  <c r="F157" i="3" l="1"/>
  <c r="E157" i="3"/>
  <c r="D157" i="3"/>
  <c r="F151" i="3"/>
  <c r="E151" i="3"/>
  <c r="D151" i="3"/>
  <c r="J693" i="2"/>
  <c r="I693" i="2"/>
  <c r="H693" i="2"/>
  <c r="J699" i="2"/>
  <c r="I699" i="2"/>
  <c r="H699" i="2"/>
  <c r="G562" i="61"/>
  <c r="H562" i="61"/>
  <c r="F562" i="61"/>
  <c r="H556" i="61"/>
  <c r="G556" i="61"/>
  <c r="F556" i="61"/>
  <c r="F158" i="3"/>
  <c r="E158" i="3"/>
  <c r="D158" i="3"/>
  <c r="F155" i="3"/>
  <c r="E155" i="3"/>
  <c r="J700" i="2"/>
  <c r="I700" i="2"/>
  <c r="H700" i="2"/>
  <c r="J697" i="2"/>
  <c r="I697" i="2"/>
  <c r="G563" i="61"/>
  <c r="H563" i="61"/>
  <c r="F563" i="61"/>
  <c r="H560" i="61"/>
  <c r="G560" i="61"/>
  <c r="D473" i="3" l="1"/>
  <c r="H353" i="2"/>
  <c r="F330" i="61"/>
  <c r="J649" i="2" l="1"/>
  <c r="I649" i="2"/>
  <c r="H649" i="2"/>
  <c r="E170" i="3"/>
  <c r="F170" i="3"/>
  <c r="D170" i="3"/>
  <c r="F166" i="3"/>
  <c r="E166" i="3"/>
  <c r="D166" i="3"/>
  <c r="J645" i="2"/>
  <c r="I645" i="2"/>
  <c r="H645" i="2"/>
  <c r="G480" i="61"/>
  <c r="H480" i="61"/>
  <c r="F480" i="61"/>
  <c r="H476" i="61"/>
  <c r="G476" i="61"/>
  <c r="F476" i="61"/>
  <c r="D541" i="3" l="1"/>
  <c r="D539" i="3"/>
  <c r="H401" i="2"/>
  <c r="H399" i="2"/>
  <c r="F369" i="61"/>
  <c r="F371" i="61"/>
  <c r="D50" i="3" l="1"/>
  <c r="H504" i="2"/>
  <c r="F416" i="61"/>
  <c r="D52" i="3" l="1"/>
  <c r="H506" i="2"/>
  <c r="F418" i="61"/>
  <c r="F412" i="61"/>
  <c r="H499" i="2"/>
  <c r="D45" i="3"/>
  <c r="D30" i="3"/>
  <c r="F401" i="61"/>
  <c r="H486" i="2"/>
  <c r="F322" i="3" l="1"/>
  <c r="E322" i="3"/>
  <c r="D322" i="3"/>
  <c r="J265" i="2"/>
  <c r="I265" i="2"/>
  <c r="H265" i="2"/>
  <c r="G256" i="61"/>
  <c r="H256" i="61"/>
  <c r="F256" i="61"/>
  <c r="D413" i="3" l="1"/>
  <c r="H201" i="2"/>
  <c r="F200" i="61"/>
  <c r="J354" i="2" l="1"/>
  <c r="I354" i="2"/>
  <c r="H354" i="2"/>
  <c r="G334" i="61"/>
  <c r="G333" i="61" s="1"/>
  <c r="F333" i="61"/>
  <c r="H331" i="61"/>
  <c r="G331" i="61"/>
  <c r="F331" i="61"/>
  <c r="E474" i="3"/>
  <c r="F474" i="3"/>
  <c r="D474" i="3"/>
  <c r="H334" i="61"/>
  <c r="H333" i="61" l="1"/>
  <c r="D249" i="3"/>
  <c r="H89" i="2"/>
  <c r="F92" i="61"/>
  <c r="D235" i="3" l="1"/>
  <c r="F235" i="3"/>
  <c r="E235" i="3"/>
  <c r="H75" i="2"/>
  <c r="J75" i="2"/>
  <c r="I75" i="2"/>
  <c r="G78" i="61"/>
  <c r="H78" i="61"/>
  <c r="F78" i="61"/>
  <c r="F370" i="61" l="1"/>
  <c r="F368" i="61"/>
  <c r="H400" i="2"/>
  <c r="H398" i="2"/>
  <c r="D540" i="3" l="1"/>
  <c r="D538" i="3"/>
  <c r="D152" i="3" l="1"/>
  <c r="D186" i="3"/>
  <c r="H718" i="2"/>
  <c r="F557" i="61"/>
  <c r="H694" i="2"/>
  <c r="F578" i="61"/>
  <c r="D630" i="3" l="1"/>
  <c r="H38" i="2"/>
  <c r="F60" i="61"/>
  <c r="D33" i="3" l="1"/>
  <c r="H489" i="2"/>
  <c r="F403" i="61"/>
  <c r="F297" i="61" l="1"/>
  <c r="H313" i="2"/>
  <c r="D361" i="3"/>
  <c r="D382" i="3"/>
  <c r="H334" i="2"/>
  <c r="F314" i="61"/>
  <c r="F190" i="61"/>
  <c r="H191" i="2"/>
  <c r="D403" i="3"/>
  <c r="D399" i="3"/>
  <c r="H187" i="2"/>
  <c r="F186" i="61"/>
  <c r="D429" i="3"/>
  <c r="H181" i="2"/>
  <c r="F181" i="61"/>
  <c r="D417" i="3" l="1"/>
  <c r="H205" i="2"/>
  <c r="F204" i="61"/>
  <c r="D614" i="3" l="1"/>
  <c r="D613" i="3"/>
  <c r="D612" i="3"/>
  <c r="H107" i="2"/>
  <c r="H106" i="2"/>
  <c r="H105" i="2"/>
  <c r="F108" i="61"/>
  <c r="F110" i="61"/>
  <c r="D620" i="3" l="1"/>
  <c r="D622" i="3"/>
  <c r="H58" i="2"/>
  <c r="H57" i="2"/>
  <c r="H56" i="2"/>
  <c r="F44" i="61"/>
  <c r="F46" i="61"/>
  <c r="D163" i="3" l="1"/>
  <c r="D162" i="3" s="1"/>
  <c r="H705" i="2"/>
  <c r="H704" i="2" s="1"/>
  <c r="F568" i="61"/>
  <c r="F86" i="3" l="1"/>
  <c r="E86" i="3"/>
  <c r="D86" i="3"/>
  <c r="F84" i="3"/>
  <c r="E84" i="3"/>
  <c r="D84" i="3"/>
  <c r="D83" i="3"/>
  <c r="D82" i="3" s="1"/>
  <c r="F82" i="3"/>
  <c r="E82" i="3"/>
  <c r="D81" i="3"/>
  <c r="D80" i="3" s="1"/>
  <c r="F80" i="3"/>
  <c r="E80" i="3"/>
  <c r="J532" i="2"/>
  <c r="I532" i="2"/>
  <c r="H532" i="2"/>
  <c r="J530" i="2"/>
  <c r="I530" i="2"/>
  <c r="H530" i="2"/>
  <c r="H529" i="2"/>
  <c r="H528" i="2" s="1"/>
  <c r="J528" i="2"/>
  <c r="I528" i="2"/>
  <c r="H527" i="2"/>
  <c r="H526" i="2" s="1"/>
  <c r="J526" i="2"/>
  <c r="I526" i="2"/>
  <c r="F55" i="3"/>
  <c r="E55" i="3"/>
  <c r="D55" i="3"/>
  <c r="J509" i="2"/>
  <c r="I509" i="2"/>
  <c r="H509" i="2"/>
  <c r="G421" i="61"/>
  <c r="H421" i="61"/>
  <c r="F421" i="61"/>
  <c r="G441" i="61"/>
  <c r="H441" i="61"/>
  <c r="G437" i="61"/>
  <c r="H437" i="61"/>
  <c r="D131" i="3"/>
  <c r="H601" i="2"/>
  <c r="F536" i="61" l="1"/>
  <c r="F436" i="61" l="1"/>
  <c r="F441" i="61"/>
  <c r="H439" i="61"/>
  <c r="G439" i="61"/>
  <c r="F439" i="61"/>
  <c r="D376" i="3" l="1"/>
  <c r="H328" i="2"/>
  <c r="F309" i="61"/>
  <c r="D378" i="3"/>
  <c r="H330" i="2"/>
  <c r="F311" i="61"/>
  <c r="D618" i="3"/>
  <c r="H48" i="2"/>
  <c r="F29" i="61"/>
  <c r="D51" i="3" l="1"/>
  <c r="H505" i="2"/>
  <c r="D222" i="3" l="1"/>
  <c r="F221" i="3"/>
  <c r="E221" i="3"/>
  <c r="D221" i="3"/>
  <c r="H734" i="2"/>
  <c r="J733" i="2"/>
  <c r="I733" i="2"/>
  <c r="H733" i="2"/>
  <c r="F593" i="61"/>
  <c r="F592" i="61" s="1"/>
  <c r="F150" i="3" l="1"/>
  <c r="E150" i="3"/>
  <c r="D150" i="3"/>
  <c r="H692" i="2"/>
  <c r="J692" i="2"/>
  <c r="I692" i="2"/>
  <c r="G555" i="61"/>
  <c r="H555" i="61"/>
  <c r="F248" i="3" l="1"/>
  <c r="E248" i="3"/>
  <c r="D248" i="3"/>
  <c r="F246" i="3"/>
  <c r="E246" i="3"/>
  <c r="D246" i="3"/>
  <c r="F244" i="3"/>
  <c r="E244" i="3"/>
  <c r="D244" i="3"/>
  <c r="F240" i="3"/>
  <c r="E240" i="3"/>
  <c r="D240" i="3"/>
  <c r="F238" i="3"/>
  <c r="E238" i="3"/>
  <c r="D238" i="3"/>
  <c r="J88" i="2"/>
  <c r="I88" i="2"/>
  <c r="H88" i="2"/>
  <c r="J86" i="2"/>
  <c r="I86" i="2"/>
  <c r="H86" i="2"/>
  <c r="J84" i="2"/>
  <c r="I84" i="2"/>
  <c r="H84" i="2"/>
  <c r="J80" i="2"/>
  <c r="I80" i="2"/>
  <c r="H80" i="2"/>
  <c r="J78" i="2"/>
  <c r="I78" i="2"/>
  <c r="H78" i="2"/>
  <c r="F611" i="3" l="1"/>
  <c r="E611" i="3"/>
  <c r="D611" i="3"/>
  <c r="H104" i="2"/>
  <c r="J104" i="2"/>
  <c r="I104" i="2"/>
  <c r="H55" i="2" l="1"/>
  <c r="J55" i="2"/>
  <c r="I55" i="2"/>
  <c r="G43" i="61"/>
  <c r="H43" i="61"/>
  <c r="H498" i="2" l="1"/>
  <c r="J498" i="2"/>
  <c r="I498" i="2"/>
  <c r="J496" i="2"/>
  <c r="I496" i="2"/>
  <c r="H496" i="2"/>
  <c r="H500" i="2"/>
  <c r="I500" i="2"/>
  <c r="J500" i="2"/>
  <c r="H503" i="2"/>
  <c r="I503" i="2"/>
  <c r="J503" i="2"/>
  <c r="I505" i="2"/>
  <c r="J505" i="2"/>
  <c r="I507" i="2"/>
  <c r="J507" i="2"/>
  <c r="H508" i="2"/>
  <c r="H507" i="2" s="1"/>
  <c r="H512" i="2"/>
  <c r="I512" i="2"/>
  <c r="J512" i="2"/>
  <c r="H514" i="2"/>
  <c r="I514" i="2"/>
  <c r="J514" i="2"/>
  <c r="H516" i="2"/>
  <c r="I516" i="2"/>
  <c r="J516" i="2"/>
  <c r="H519" i="2"/>
  <c r="I519" i="2"/>
  <c r="J519" i="2"/>
  <c r="H521" i="2"/>
  <c r="I521" i="2"/>
  <c r="J521" i="2"/>
  <c r="H524" i="2"/>
  <c r="H523" i="2" s="1"/>
  <c r="I524" i="2"/>
  <c r="J524" i="2"/>
  <c r="F416" i="3"/>
  <c r="E416" i="3"/>
  <c r="D416" i="3"/>
  <c r="D414" i="3"/>
  <c r="F414" i="3"/>
  <c r="E414" i="3"/>
  <c r="F412" i="3"/>
  <c r="E412" i="3"/>
  <c r="D412" i="3"/>
  <c r="D410" i="3"/>
  <c r="F410" i="3"/>
  <c r="E410" i="3"/>
  <c r="F408" i="3"/>
  <c r="E408" i="3"/>
  <c r="D408" i="3"/>
  <c r="D406" i="3"/>
  <c r="F406" i="3"/>
  <c r="E406" i="3"/>
  <c r="F404" i="3"/>
  <c r="E404" i="3"/>
  <c r="D404" i="3"/>
  <c r="F402" i="3"/>
  <c r="E402" i="3"/>
  <c r="D402" i="3"/>
  <c r="F400" i="3"/>
  <c r="E400" i="3"/>
  <c r="D400" i="3"/>
  <c r="F398" i="3"/>
  <c r="E398" i="3"/>
  <c r="D398" i="3"/>
  <c r="J204" i="2"/>
  <c r="I204" i="2"/>
  <c r="H204" i="2"/>
  <c r="H202" i="2"/>
  <c r="J202" i="2"/>
  <c r="I202" i="2"/>
  <c r="J200" i="2"/>
  <c r="I200" i="2"/>
  <c r="H200" i="2"/>
  <c r="H198" i="2"/>
  <c r="J198" i="2"/>
  <c r="I198" i="2"/>
  <c r="J196" i="2"/>
  <c r="I196" i="2"/>
  <c r="H196" i="2"/>
  <c r="H194" i="2"/>
  <c r="J194" i="2"/>
  <c r="I194" i="2"/>
  <c r="J192" i="2"/>
  <c r="I192" i="2"/>
  <c r="H192" i="2"/>
  <c r="J190" i="2"/>
  <c r="I190" i="2"/>
  <c r="H190" i="2"/>
  <c r="J188" i="2"/>
  <c r="I188" i="2"/>
  <c r="H188" i="2"/>
  <c r="J186" i="2"/>
  <c r="I186" i="2"/>
  <c r="H186" i="2"/>
  <c r="J73" i="2"/>
  <c r="I73" i="2"/>
  <c r="H73" i="2"/>
  <c r="J71" i="2"/>
  <c r="I71" i="2"/>
  <c r="H71" i="2"/>
  <c r="H68" i="2"/>
  <c r="H67" i="2" s="1"/>
  <c r="I68" i="2"/>
  <c r="J68" i="2"/>
  <c r="E397" i="3" l="1"/>
  <c r="J70" i="2"/>
  <c r="F397" i="3"/>
  <c r="H185" i="2"/>
  <c r="I185" i="2"/>
  <c r="J185" i="2"/>
  <c r="D397" i="3"/>
  <c r="I70" i="2"/>
  <c r="H70" i="2"/>
  <c r="I502" i="2"/>
  <c r="H502" i="2"/>
  <c r="H518" i="2"/>
  <c r="I518" i="2"/>
  <c r="J502" i="2"/>
  <c r="I511" i="2"/>
  <c r="J518" i="2"/>
  <c r="J523" i="2"/>
  <c r="I523" i="2"/>
  <c r="H511" i="2"/>
  <c r="J511" i="2"/>
  <c r="C29" i="62"/>
  <c r="F550" i="3" l="1"/>
  <c r="F549" i="3" s="1"/>
  <c r="E550" i="3"/>
  <c r="E549" i="3" s="1"/>
  <c r="D550" i="3"/>
  <c r="D549" i="3" s="1"/>
  <c r="J410" i="2"/>
  <c r="J409" i="2" s="1"/>
  <c r="I410" i="2"/>
  <c r="I409" i="2" s="1"/>
  <c r="H410" i="2"/>
  <c r="H409" i="2" s="1"/>
  <c r="G378" i="61"/>
  <c r="G377" i="61" s="1"/>
  <c r="H378" i="61"/>
  <c r="H377" i="61" s="1"/>
  <c r="F378" i="61"/>
  <c r="F377" i="61" s="1"/>
  <c r="H756" i="2" l="1"/>
  <c r="F56" i="61"/>
  <c r="F438" i="61" l="1"/>
  <c r="F87" i="61"/>
  <c r="H91" i="61" l="1"/>
  <c r="G91" i="61"/>
  <c r="G89" i="61"/>
  <c r="H89" i="61"/>
  <c r="F91" i="61"/>
  <c r="G87" i="61"/>
  <c r="H87" i="61"/>
  <c r="G83" i="61"/>
  <c r="H83" i="61"/>
  <c r="F83" i="61"/>
  <c r="F89" i="61"/>
  <c r="H81" i="61"/>
  <c r="G81" i="61"/>
  <c r="F81" i="61"/>
  <c r="H191" i="61" l="1"/>
  <c r="G191" i="61"/>
  <c r="F191" i="61"/>
  <c r="D97" i="3" l="1"/>
  <c r="H548" i="2"/>
  <c r="F454" i="61"/>
  <c r="D527" i="3"/>
  <c r="H458" i="2"/>
  <c r="F630" i="61"/>
  <c r="H203" i="61"/>
  <c r="G203" i="61"/>
  <c r="F203" i="61"/>
  <c r="D144" i="3" l="1"/>
  <c r="H614" i="2"/>
  <c r="F548" i="61"/>
  <c r="F105" i="61"/>
  <c r="H102" i="2"/>
  <c r="D609" i="3"/>
  <c r="F179" i="3"/>
  <c r="E179" i="3"/>
  <c r="D179" i="3"/>
  <c r="D178" i="3" s="1"/>
  <c r="D605" i="3"/>
  <c r="H142" i="2"/>
  <c r="F141" i="61"/>
  <c r="D627" i="3"/>
  <c r="H31" i="2"/>
  <c r="F35" i="61"/>
  <c r="D625" i="3"/>
  <c r="H29" i="2"/>
  <c r="F33" i="61"/>
  <c r="F555" i="61" l="1"/>
  <c r="F507" i="61"/>
  <c r="H675" i="2"/>
  <c r="D219" i="3"/>
  <c r="D214" i="3"/>
  <c r="H670" i="2"/>
  <c r="F503" i="61"/>
  <c r="F174" i="3"/>
  <c r="E174" i="3"/>
  <c r="D174" i="3"/>
  <c r="J709" i="2"/>
  <c r="I709" i="2"/>
  <c r="H709" i="2"/>
  <c r="H571" i="61"/>
  <c r="G571" i="61"/>
  <c r="F571" i="61"/>
  <c r="H481" i="61" l="1"/>
  <c r="G481" i="61"/>
  <c r="F481" i="61"/>
  <c r="J651" i="2"/>
  <c r="I651" i="2"/>
  <c r="H651" i="2"/>
  <c r="H650" i="2" s="1"/>
  <c r="D481" i="3" l="1"/>
  <c r="H361" i="2"/>
  <c r="F336" i="61"/>
  <c r="D54" i="3"/>
  <c r="F420" i="61"/>
  <c r="D290" i="3"/>
  <c r="H467" i="2"/>
  <c r="F650" i="61"/>
  <c r="F656" i="61"/>
  <c r="H474" i="2"/>
  <c r="D297" i="3"/>
  <c r="D299" i="3"/>
  <c r="H476" i="2"/>
  <c r="F658" i="61"/>
  <c r="F317" i="3"/>
  <c r="E317" i="3"/>
  <c r="D317" i="3"/>
  <c r="J307" i="2"/>
  <c r="I307" i="2"/>
  <c r="H307" i="2"/>
  <c r="H292" i="61"/>
  <c r="G292" i="61"/>
  <c r="F292" i="61"/>
  <c r="D312" i="3" l="1"/>
  <c r="H302" i="2"/>
  <c r="F287" i="61"/>
  <c r="F109" i="61"/>
  <c r="F128" i="61"/>
  <c r="H127" i="2"/>
  <c r="D456" i="3"/>
  <c r="D449" i="3"/>
  <c r="I119" i="2"/>
  <c r="J119" i="2"/>
  <c r="H120" i="2"/>
  <c r="H119" i="2" s="1"/>
  <c r="F122" i="61"/>
  <c r="F78" i="3" l="1"/>
  <c r="E78" i="3"/>
  <c r="D78" i="3"/>
  <c r="D77" i="3" s="1"/>
  <c r="F437" i="61"/>
  <c r="H435" i="61"/>
  <c r="G435" i="61"/>
  <c r="F435" i="61"/>
  <c r="H433" i="61"/>
  <c r="G433" i="61"/>
  <c r="F433" i="61"/>
  <c r="F77" i="3" l="1"/>
  <c r="E77" i="3"/>
  <c r="F377" i="3" l="1"/>
  <c r="E377" i="3"/>
  <c r="D377" i="3"/>
  <c r="H310" i="61"/>
  <c r="G310" i="61"/>
  <c r="F310" i="61"/>
  <c r="I329" i="2"/>
  <c r="J329" i="2"/>
  <c r="H329" i="2"/>
  <c r="F200" i="3"/>
  <c r="E200" i="3"/>
  <c r="D200" i="3"/>
  <c r="J748" i="2"/>
  <c r="I748" i="2"/>
  <c r="H748" i="2"/>
  <c r="H641" i="61"/>
  <c r="G641" i="61"/>
  <c r="F641" i="61"/>
  <c r="D143" i="3" l="1"/>
  <c r="I613" i="2"/>
  <c r="J613" i="2"/>
  <c r="H613" i="2"/>
  <c r="G547" i="61"/>
  <c r="H547" i="61"/>
  <c r="F547" i="61"/>
  <c r="D173" i="3" l="1"/>
  <c r="H708" i="2"/>
  <c r="F570" i="61"/>
  <c r="F35" i="3" l="1"/>
  <c r="F34" i="3" s="1"/>
  <c r="E35" i="3"/>
  <c r="E34" i="3" s="1"/>
  <c r="D34" i="3"/>
  <c r="J491" i="2"/>
  <c r="J490" i="2" s="1"/>
  <c r="I491" i="2"/>
  <c r="I490" i="2" s="1"/>
  <c r="H490" i="2"/>
  <c r="F404" i="61"/>
  <c r="G405" i="61"/>
  <c r="G404" i="61" s="1"/>
  <c r="H405" i="61"/>
  <c r="H404" i="61" s="1"/>
  <c r="D124" i="3" l="1"/>
  <c r="H577" i="2"/>
  <c r="F490" i="61"/>
  <c r="F136" i="3" l="1"/>
  <c r="E136" i="3"/>
  <c r="H541" i="61"/>
  <c r="G541" i="61"/>
  <c r="F124" i="3"/>
  <c r="E124" i="3"/>
  <c r="H490" i="61"/>
  <c r="G490" i="61"/>
  <c r="J606" i="2"/>
  <c r="I606" i="2"/>
  <c r="J577" i="2"/>
  <c r="I577" i="2"/>
  <c r="D93" i="3"/>
  <c r="H539" i="2"/>
  <c r="F446" i="61"/>
  <c r="D136" i="3"/>
  <c r="H606" i="2"/>
  <c r="F541" i="61"/>
  <c r="D75" i="3" l="1"/>
  <c r="E75" i="3"/>
  <c r="F75" i="3"/>
  <c r="F501" i="3" l="1"/>
  <c r="E501" i="3"/>
  <c r="D501" i="3"/>
  <c r="J381" i="2"/>
  <c r="I381" i="2"/>
  <c r="H381" i="2"/>
  <c r="G353" i="61"/>
  <c r="H353" i="61"/>
  <c r="F353" i="61"/>
  <c r="D621" i="3" l="1"/>
  <c r="D619" i="3" s="1"/>
  <c r="F45" i="61"/>
  <c r="F43" i="61" s="1"/>
  <c r="D546" i="3" l="1"/>
  <c r="H406" i="2"/>
  <c r="F375" i="61"/>
  <c r="F520" i="3" l="1"/>
  <c r="E520" i="3"/>
  <c r="D520" i="3"/>
  <c r="J451" i="2"/>
  <c r="I451" i="2"/>
  <c r="H451" i="2"/>
  <c r="G625" i="61"/>
  <c r="H625" i="61"/>
  <c r="F625" i="61"/>
  <c r="D92" i="3" l="1"/>
  <c r="D91" i="3" s="1"/>
  <c r="D196" i="3" l="1"/>
  <c r="D194" i="3" s="1"/>
  <c r="F194" i="3"/>
  <c r="E194" i="3"/>
  <c r="H744" i="2"/>
  <c r="H742" i="2" s="1"/>
  <c r="J742" i="2"/>
  <c r="I742" i="2"/>
  <c r="F637" i="61"/>
  <c r="F635" i="61" s="1"/>
  <c r="F376" i="61" l="1"/>
  <c r="D99" i="3" l="1"/>
  <c r="D98" i="3" s="1"/>
  <c r="F98" i="3"/>
  <c r="E98" i="3"/>
  <c r="H550" i="2"/>
  <c r="H549" i="2" s="1"/>
  <c r="J549" i="2"/>
  <c r="I549" i="2"/>
  <c r="F456" i="61"/>
  <c r="F455" i="61" s="1"/>
  <c r="H455" i="61"/>
  <c r="G455" i="61"/>
  <c r="F567" i="61" l="1"/>
  <c r="D183" i="3" l="1"/>
  <c r="H715" i="2"/>
  <c r="F576" i="61"/>
  <c r="D394" i="3" l="1"/>
  <c r="D393" i="3" s="1"/>
  <c r="D392" i="3"/>
  <c r="D391" i="3" s="1"/>
  <c r="H259" i="2"/>
  <c r="H258" i="2" s="1"/>
  <c r="H257" i="2"/>
  <c r="H256" i="2" s="1"/>
  <c r="F251" i="61"/>
  <c r="F249" i="61"/>
  <c r="H445" i="61" l="1"/>
  <c r="G445" i="61"/>
  <c r="F445" i="61"/>
  <c r="J538" i="2"/>
  <c r="J537" i="2" s="1"/>
  <c r="I538" i="2"/>
  <c r="I537" i="2" s="1"/>
  <c r="H538" i="2"/>
  <c r="H537" i="2" s="1"/>
  <c r="E92" i="3"/>
  <c r="E91" i="3" s="1"/>
  <c r="F92" i="3"/>
  <c r="F91" i="3" s="1"/>
  <c r="F292" i="3" l="1"/>
  <c r="E292" i="3"/>
  <c r="D292" i="3"/>
  <c r="J469" i="2"/>
  <c r="I469" i="2"/>
  <c r="H469" i="2"/>
  <c r="G652" i="61"/>
  <c r="H652" i="61"/>
  <c r="F652" i="61"/>
  <c r="F90" i="3"/>
  <c r="E90" i="3"/>
  <c r="D90" i="3"/>
  <c r="J536" i="2"/>
  <c r="I536" i="2"/>
  <c r="H536" i="2"/>
  <c r="H444" i="61"/>
  <c r="G444" i="61"/>
  <c r="F444" i="61"/>
  <c r="F128" i="3"/>
  <c r="E128" i="3"/>
  <c r="D128" i="3"/>
  <c r="J623" i="2"/>
  <c r="I623" i="2"/>
  <c r="H623" i="2"/>
  <c r="G606" i="61"/>
  <c r="H606" i="61"/>
  <c r="F606" i="61"/>
  <c r="F561" i="3" l="1"/>
  <c r="E561" i="3"/>
  <c r="D561" i="3"/>
  <c r="J211" i="2"/>
  <c r="I211" i="2"/>
  <c r="H211" i="2"/>
  <c r="G209" i="61"/>
  <c r="H209" i="61"/>
  <c r="F209" i="61"/>
  <c r="C24" i="62" l="1"/>
  <c r="C23" i="62" s="1"/>
  <c r="D24" i="62"/>
  <c r="D23" i="62" s="1"/>
  <c r="E24" i="62"/>
  <c r="E23" i="62" s="1"/>
  <c r="F24" i="62"/>
  <c r="F23" i="62" s="1"/>
  <c r="G24" i="62"/>
  <c r="G23" i="62" s="1"/>
  <c r="C27" i="62"/>
  <c r="C26" i="62" s="1"/>
  <c r="D27" i="62"/>
  <c r="E27" i="62"/>
  <c r="G27" i="62"/>
  <c r="D29" i="62"/>
  <c r="E29" i="62"/>
  <c r="G29" i="62"/>
  <c r="E26" i="62" l="1"/>
  <c r="G26" i="62"/>
  <c r="F26" i="62"/>
  <c r="D26" i="62"/>
  <c r="H341" i="61"/>
  <c r="G341" i="61"/>
  <c r="F341" i="61"/>
  <c r="H339" i="61"/>
  <c r="G339" i="61"/>
  <c r="F339" i="61"/>
  <c r="J365" i="2"/>
  <c r="I365" i="2"/>
  <c r="H365" i="2"/>
  <c r="J363" i="2"/>
  <c r="I363" i="2"/>
  <c r="H363" i="2"/>
  <c r="F479" i="3"/>
  <c r="E479" i="3"/>
  <c r="J359" i="2"/>
  <c r="I359" i="2"/>
  <c r="F485" i="3" l="1"/>
  <c r="E485" i="3"/>
  <c r="D485" i="3"/>
  <c r="J362" i="2"/>
  <c r="I362" i="2"/>
  <c r="H362" i="2"/>
  <c r="F218" i="3" l="1"/>
  <c r="E218" i="3"/>
  <c r="D218" i="3"/>
  <c r="F216" i="3"/>
  <c r="E216" i="3"/>
  <c r="D216" i="3"/>
  <c r="J674" i="2"/>
  <c r="I674" i="2"/>
  <c r="H674" i="2"/>
  <c r="J672" i="2"/>
  <c r="I672" i="2"/>
  <c r="H672" i="2"/>
  <c r="G506" i="61"/>
  <c r="H506" i="61"/>
  <c r="F506" i="61"/>
  <c r="F169" i="3"/>
  <c r="E169" i="3"/>
  <c r="D169" i="3"/>
  <c r="F167" i="3"/>
  <c r="E167" i="3"/>
  <c r="D167" i="3"/>
  <c r="F165" i="3"/>
  <c r="E165" i="3"/>
  <c r="D165" i="3"/>
  <c r="J648" i="2"/>
  <c r="I648" i="2"/>
  <c r="H648" i="2"/>
  <c r="J646" i="2"/>
  <c r="I646" i="2"/>
  <c r="H646" i="2"/>
  <c r="J644" i="2"/>
  <c r="I644" i="2"/>
  <c r="H644" i="2"/>
  <c r="F159" i="3"/>
  <c r="E159" i="3"/>
  <c r="D159" i="3"/>
  <c r="F156" i="3"/>
  <c r="E156" i="3"/>
  <c r="D156" i="3"/>
  <c r="F154" i="3"/>
  <c r="E154" i="3"/>
  <c r="D154" i="3"/>
  <c r="J701" i="2"/>
  <c r="I701" i="2"/>
  <c r="H701" i="2"/>
  <c r="J698" i="2"/>
  <c r="I698" i="2"/>
  <c r="H698" i="2"/>
  <c r="J696" i="2"/>
  <c r="I696" i="2"/>
  <c r="H696" i="2"/>
  <c r="I643" i="2" l="1"/>
  <c r="F149" i="3"/>
  <c r="D149" i="3"/>
  <c r="E149" i="3"/>
  <c r="I691" i="2"/>
  <c r="H691" i="2"/>
  <c r="J691" i="2"/>
  <c r="J643" i="2"/>
  <c r="H643" i="2"/>
  <c r="H642" i="2" s="1"/>
  <c r="I671" i="2"/>
  <c r="D215" i="3"/>
  <c r="E215" i="3"/>
  <c r="F215" i="3"/>
  <c r="H671" i="2"/>
  <c r="J671" i="2"/>
  <c r="E621" i="3" l="1"/>
  <c r="F621" i="3"/>
  <c r="F620" i="3"/>
  <c r="E620" i="3"/>
  <c r="E619" i="3" l="1"/>
  <c r="F619" i="3"/>
  <c r="E583" i="3"/>
  <c r="F583" i="3"/>
  <c r="D583" i="3"/>
  <c r="I52" i="2"/>
  <c r="J52" i="2"/>
  <c r="H52" i="2"/>
  <c r="G40" i="61"/>
  <c r="H40" i="61"/>
  <c r="F40" i="61"/>
  <c r="F137" i="3" l="1"/>
  <c r="E137" i="3"/>
  <c r="D137" i="3"/>
  <c r="F135" i="3"/>
  <c r="E135" i="3"/>
  <c r="D135" i="3"/>
  <c r="J607" i="2"/>
  <c r="I607" i="2"/>
  <c r="H607" i="2"/>
  <c r="J605" i="2"/>
  <c r="I605" i="2"/>
  <c r="H605" i="2"/>
  <c r="H462" i="61" l="1"/>
  <c r="G462" i="61"/>
  <c r="F462" i="61"/>
  <c r="H460" i="61"/>
  <c r="G460" i="61"/>
  <c r="F460" i="61"/>
  <c r="J556" i="2"/>
  <c r="I556" i="2"/>
  <c r="H556" i="2"/>
  <c r="J554" i="2"/>
  <c r="I554" i="2"/>
  <c r="H554" i="2"/>
  <c r="I547" i="2"/>
  <c r="J547" i="2"/>
  <c r="J546" i="2" l="1"/>
  <c r="I546" i="2"/>
  <c r="H522" i="61"/>
  <c r="G522" i="61"/>
  <c r="F522" i="61"/>
  <c r="H520" i="61"/>
  <c r="G520" i="61"/>
  <c r="F520" i="61"/>
  <c r="J584" i="2"/>
  <c r="I584" i="2"/>
  <c r="H584" i="2"/>
  <c r="J582" i="2"/>
  <c r="I582" i="2"/>
  <c r="H582" i="2"/>
  <c r="F67" i="3"/>
  <c r="E67" i="3"/>
  <c r="D67" i="3"/>
  <c r="J587" i="2"/>
  <c r="I587" i="2"/>
  <c r="H587" i="2"/>
  <c r="H427" i="61"/>
  <c r="G427" i="61"/>
  <c r="F427" i="61"/>
  <c r="H425" i="61"/>
  <c r="G425" i="61"/>
  <c r="F425" i="61"/>
  <c r="H423" i="61"/>
  <c r="G423" i="61"/>
  <c r="F423" i="61"/>
  <c r="F51" i="3"/>
  <c r="E51" i="3"/>
  <c r="F49" i="3"/>
  <c r="E49" i="3"/>
  <c r="D49" i="3"/>
  <c r="F53" i="3"/>
  <c r="E53" i="3"/>
  <c r="D53" i="3"/>
  <c r="F48" i="3" l="1"/>
  <c r="D48" i="3"/>
  <c r="E48" i="3"/>
  <c r="H413" i="61"/>
  <c r="G413" i="61"/>
  <c r="F413" i="61"/>
  <c r="H411" i="61"/>
  <c r="G411" i="61"/>
  <c r="F411" i="61"/>
  <c r="H409" i="61"/>
  <c r="G409" i="61"/>
  <c r="F409" i="61"/>
  <c r="F32" i="3"/>
  <c r="F31" i="3" s="1"/>
  <c r="E32" i="3"/>
  <c r="E31" i="3" s="1"/>
  <c r="D32" i="3"/>
  <c r="D31" i="3" s="1"/>
  <c r="J488" i="2"/>
  <c r="J487" i="2" s="1"/>
  <c r="I488" i="2"/>
  <c r="I487" i="2" s="1"/>
  <c r="H488" i="2"/>
  <c r="H487" i="2" s="1"/>
  <c r="F29" i="3"/>
  <c r="E29" i="3"/>
  <c r="D29" i="3"/>
  <c r="F27" i="3"/>
  <c r="E27" i="3"/>
  <c r="D27" i="3"/>
  <c r="J485" i="2"/>
  <c r="I485" i="2"/>
  <c r="H485" i="2"/>
  <c r="J483" i="2"/>
  <c r="I483" i="2"/>
  <c r="H483" i="2"/>
  <c r="F545" i="3" l="1"/>
  <c r="E545" i="3"/>
  <c r="D545" i="3"/>
  <c r="F543" i="3"/>
  <c r="F542" i="3" s="1"/>
  <c r="E543" i="3"/>
  <c r="E542" i="3" s="1"/>
  <c r="D543" i="3"/>
  <c r="F540" i="3"/>
  <c r="E540" i="3"/>
  <c r="F538" i="3"/>
  <c r="E538" i="3"/>
  <c r="D537" i="3"/>
  <c r="H405" i="2"/>
  <c r="H403" i="2"/>
  <c r="F374" i="61"/>
  <c r="H364" i="61"/>
  <c r="G364" i="61"/>
  <c r="F364" i="61"/>
  <c r="H360" i="61"/>
  <c r="G360" i="61"/>
  <c r="F360" i="61"/>
  <c r="F359" i="61" s="1"/>
  <c r="H357" i="61"/>
  <c r="G357" i="61"/>
  <c r="F357" i="61"/>
  <c r="H355" i="61"/>
  <c r="G355" i="61"/>
  <c r="F355" i="61"/>
  <c r="H350" i="61"/>
  <c r="G350" i="61"/>
  <c r="F350" i="61"/>
  <c r="H348" i="61"/>
  <c r="G348" i="61"/>
  <c r="F348" i="61"/>
  <c r="H335" i="61"/>
  <c r="G335" i="61"/>
  <c r="F335" i="61"/>
  <c r="H329" i="61"/>
  <c r="H328" i="61" s="1"/>
  <c r="G329" i="61"/>
  <c r="F329" i="61"/>
  <c r="F328" i="61" s="1"/>
  <c r="J393" i="2"/>
  <c r="I393" i="2"/>
  <c r="H393" i="2"/>
  <c r="J389" i="2"/>
  <c r="I389" i="2"/>
  <c r="H389" i="2"/>
  <c r="J385" i="2"/>
  <c r="I385" i="2"/>
  <c r="H385" i="2"/>
  <c r="J383" i="2"/>
  <c r="I383" i="2"/>
  <c r="H383" i="2"/>
  <c r="J377" i="2"/>
  <c r="J376" i="2" s="1"/>
  <c r="I377" i="2"/>
  <c r="I376" i="2" s="1"/>
  <c r="H377" i="2"/>
  <c r="H376" i="2" s="1"/>
  <c r="J374" i="2"/>
  <c r="J373" i="2" s="1"/>
  <c r="I374" i="2"/>
  <c r="I373" i="2" s="1"/>
  <c r="H374" i="2"/>
  <c r="H373" i="2" s="1"/>
  <c r="J360" i="2"/>
  <c r="I360" i="2"/>
  <c r="H360" i="2"/>
  <c r="J358" i="2"/>
  <c r="I358" i="2"/>
  <c r="H358" i="2"/>
  <c r="J352" i="2"/>
  <c r="I352" i="2"/>
  <c r="H352" i="2"/>
  <c r="F182" i="3"/>
  <c r="F181" i="3" s="1"/>
  <c r="F178" i="3" s="1"/>
  <c r="E182" i="3"/>
  <c r="E181" i="3" s="1"/>
  <c r="E178" i="3" s="1"/>
  <c r="D182" i="3"/>
  <c r="D181" i="3" s="1"/>
  <c r="H575" i="61"/>
  <c r="G575" i="61"/>
  <c r="F575" i="61"/>
  <c r="I714" i="2"/>
  <c r="I713" i="2" s="1"/>
  <c r="J714" i="2"/>
  <c r="J713" i="2" s="1"/>
  <c r="H714" i="2"/>
  <c r="H713" i="2" s="1"/>
  <c r="G328" i="61" l="1"/>
  <c r="G359" i="61"/>
  <c r="H388" i="2"/>
  <c r="H387" i="2" s="1"/>
  <c r="J388" i="2"/>
  <c r="J387" i="2" s="1"/>
  <c r="I388" i="2"/>
  <c r="H351" i="2"/>
  <c r="H350" i="2" s="1"/>
  <c r="H359" i="61"/>
  <c r="I351" i="2"/>
  <c r="I350" i="2" s="1"/>
  <c r="J351" i="2"/>
  <c r="J350" i="2" s="1"/>
  <c r="I372" i="2"/>
  <c r="F352" i="61"/>
  <c r="J380" i="2"/>
  <c r="J379" i="2" s="1"/>
  <c r="I380" i="2"/>
  <c r="I379" i="2" s="1"/>
  <c r="J372" i="2"/>
  <c r="H380" i="2"/>
  <c r="H379" i="2" s="1"/>
  <c r="H352" i="61"/>
  <c r="G352" i="61"/>
  <c r="H372" i="2"/>
  <c r="H402" i="2"/>
  <c r="F537" i="3"/>
  <c r="F536" i="3" s="1"/>
  <c r="F535" i="3" s="1"/>
  <c r="E537" i="3"/>
  <c r="E536" i="3" s="1"/>
  <c r="E535" i="3" s="1"/>
  <c r="I387" i="2"/>
  <c r="D542" i="3"/>
  <c r="D536" i="3" s="1"/>
  <c r="D535" i="3" s="1"/>
  <c r="I349" i="2" l="1"/>
  <c r="H349" i="2"/>
  <c r="J349" i="2"/>
  <c r="F428" i="3" l="1"/>
  <c r="E428" i="3"/>
  <c r="D428" i="3"/>
  <c r="F426" i="3"/>
  <c r="E426" i="3"/>
  <c r="D426" i="3"/>
  <c r="F424" i="3"/>
  <c r="E424" i="3"/>
  <c r="D424" i="3"/>
  <c r="F422" i="3"/>
  <c r="E422" i="3"/>
  <c r="D422" i="3"/>
  <c r="F420" i="3"/>
  <c r="E420" i="3"/>
  <c r="D420" i="3"/>
  <c r="J180" i="2"/>
  <c r="I180" i="2"/>
  <c r="H180" i="2"/>
  <c r="J178" i="2"/>
  <c r="I178" i="2"/>
  <c r="H178" i="2"/>
  <c r="J176" i="2"/>
  <c r="I176" i="2"/>
  <c r="H176" i="2"/>
  <c r="J174" i="2"/>
  <c r="I174" i="2"/>
  <c r="H174" i="2"/>
  <c r="J172" i="2"/>
  <c r="I172" i="2"/>
  <c r="H172" i="2"/>
  <c r="G176" i="61"/>
  <c r="H176" i="61"/>
  <c r="F176" i="61"/>
  <c r="D450" i="3"/>
  <c r="D448" i="3"/>
  <c r="H118" i="2"/>
  <c r="F123" i="61"/>
  <c r="F121" i="61"/>
  <c r="H171" i="2" l="1"/>
  <c r="D419" i="3"/>
  <c r="E419" i="3"/>
  <c r="F419" i="3"/>
  <c r="I171" i="2"/>
  <c r="J171" i="2"/>
  <c r="H137" i="61"/>
  <c r="G137" i="61"/>
  <c r="F137" i="61"/>
  <c r="H135" i="61"/>
  <c r="G135" i="61"/>
  <c r="F135" i="61"/>
  <c r="J138" i="2"/>
  <c r="I138" i="2"/>
  <c r="H138" i="2"/>
  <c r="J136" i="2"/>
  <c r="I136" i="2"/>
  <c r="H136" i="2"/>
  <c r="H132" i="61"/>
  <c r="G132" i="61"/>
  <c r="F132" i="61"/>
  <c r="H130" i="61"/>
  <c r="G130" i="61"/>
  <c r="F130" i="61"/>
  <c r="J132" i="2"/>
  <c r="I132" i="2"/>
  <c r="H132" i="2"/>
  <c r="J130" i="2"/>
  <c r="I130" i="2"/>
  <c r="H130" i="2"/>
  <c r="H126" i="61"/>
  <c r="G126" i="61"/>
  <c r="F126" i="61"/>
  <c r="J125" i="2"/>
  <c r="I125" i="2"/>
  <c r="H125" i="2"/>
  <c r="H123" i="61"/>
  <c r="G123" i="61"/>
  <c r="H121" i="61"/>
  <c r="G121" i="61"/>
  <c r="J121" i="2"/>
  <c r="I121" i="2"/>
  <c r="H325" i="61" l="1"/>
  <c r="G325" i="61"/>
  <c r="F325" i="61"/>
  <c r="H323" i="61"/>
  <c r="G323" i="61"/>
  <c r="F323" i="61"/>
  <c r="J347" i="2"/>
  <c r="I347" i="2"/>
  <c r="J345" i="2"/>
  <c r="I345" i="2"/>
  <c r="F233" i="3" l="1"/>
  <c r="E233" i="3"/>
  <c r="D233" i="3"/>
  <c r="F231" i="3"/>
  <c r="F230" i="3" s="1"/>
  <c r="E231" i="3"/>
  <c r="D231" i="3"/>
  <c r="H76" i="61"/>
  <c r="G76" i="61"/>
  <c r="F76" i="61"/>
  <c r="H74" i="61"/>
  <c r="G74" i="61"/>
  <c r="F74" i="61"/>
  <c r="F626" i="3"/>
  <c r="E626" i="3"/>
  <c r="D626" i="3"/>
  <c r="F624" i="3"/>
  <c r="E624" i="3"/>
  <c r="D624" i="3"/>
  <c r="J30" i="2"/>
  <c r="I30" i="2"/>
  <c r="H30" i="2"/>
  <c r="J28" i="2"/>
  <c r="I28" i="2"/>
  <c r="H28" i="2"/>
  <c r="D230" i="3" l="1"/>
  <c r="E230" i="3"/>
  <c r="H623" i="61"/>
  <c r="G623" i="61"/>
  <c r="F623" i="61"/>
  <c r="J449" i="2"/>
  <c r="J448" i="2" s="1"/>
  <c r="I449" i="2"/>
  <c r="I448" i="2" s="1"/>
  <c r="H449" i="2"/>
  <c r="H448" i="2" s="1"/>
  <c r="F341" i="3" l="1"/>
  <c r="E341" i="3"/>
  <c r="D341" i="3"/>
  <c r="F339" i="3"/>
  <c r="F336" i="3" s="1"/>
  <c r="E339" i="3"/>
  <c r="D339" i="3"/>
  <c r="J284" i="2"/>
  <c r="I284" i="2"/>
  <c r="H284" i="2"/>
  <c r="J282" i="2"/>
  <c r="I282" i="2"/>
  <c r="H282" i="2"/>
  <c r="H279" i="2" s="1"/>
  <c r="F334" i="3"/>
  <c r="E334" i="3"/>
  <c r="D334" i="3"/>
  <c r="F332" i="3"/>
  <c r="E332" i="3"/>
  <c r="D332" i="3"/>
  <c r="F330" i="3"/>
  <c r="E330" i="3"/>
  <c r="D330" i="3"/>
  <c r="J277" i="2"/>
  <c r="I277" i="2"/>
  <c r="H277" i="2"/>
  <c r="J275" i="2"/>
  <c r="I275" i="2"/>
  <c r="H275" i="2"/>
  <c r="J273" i="2"/>
  <c r="I273" i="2"/>
  <c r="H273" i="2"/>
  <c r="H269" i="2"/>
  <c r="H268" i="2" s="1"/>
  <c r="I269" i="2"/>
  <c r="I268" i="2" s="1"/>
  <c r="J269" i="2"/>
  <c r="J268" i="2" s="1"/>
  <c r="E336" i="3" l="1"/>
  <c r="D336" i="3"/>
  <c r="I279" i="2"/>
  <c r="J279" i="2"/>
  <c r="F283" i="3"/>
  <c r="E283" i="3"/>
  <c r="D283" i="3"/>
  <c r="J249" i="2"/>
  <c r="I249" i="2"/>
  <c r="H249" i="2"/>
  <c r="G242" i="61"/>
  <c r="H242" i="61"/>
  <c r="F242" i="61"/>
  <c r="H512" i="61" l="1"/>
  <c r="G512" i="61"/>
  <c r="F512" i="61"/>
  <c r="H510" i="61"/>
  <c r="G510" i="61"/>
  <c r="F510" i="61"/>
  <c r="J681" i="2"/>
  <c r="I681" i="2"/>
  <c r="H681" i="2"/>
  <c r="J679" i="2"/>
  <c r="I679" i="2"/>
  <c r="H679" i="2"/>
  <c r="H314" i="61" l="1"/>
  <c r="G314" i="61"/>
  <c r="J334" i="2"/>
  <c r="I334" i="2"/>
  <c r="F382" i="3"/>
  <c r="E382" i="3"/>
  <c r="J722" i="2" l="1"/>
  <c r="I722" i="2"/>
  <c r="H722" i="2"/>
  <c r="J720" i="2"/>
  <c r="J719" i="2" s="1"/>
  <c r="I720" i="2"/>
  <c r="I719" i="2" s="1"/>
  <c r="H720" i="2"/>
  <c r="F485" i="61"/>
  <c r="H339" i="2"/>
  <c r="I339" i="2"/>
  <c r="J339" i="2"/>
  <c r="J151" i="2"/>
  <c r="I151" i="2"/>
  <c r="J149" i="2"/>
  <c r="I149" i="2"/>
  <c r="H153" i="61"/>
  <c r="H151" i="61"/>
  <c r="H150" i="61" s="1"/>
  <c r="F567" i="3"/>
  <c r="F565" i="3"/>
  <c r="F574" i="3"/>
  <c r="E574" i="3"/>
  <c r="D574" i="3"/>
  <c r="F572" i="3"/>
  <c r="E572" i="3"/>
  <c r="D572" i="3"/>
  <c r="J220" i="2"/>
  <c r="I220" i="2"/>
  <c r="H220" i="2"/>
  <c r="J218" i="2"/>
  <c r="I218" i="2"/>
  <c r="H218" i="2"/>
  <c r="F563" i="3"/>
  <c r="E563" i="3"/>
  <c r="D563" i="3"/>
  <c r="E567" i="3"/>
  <c r="D567" i="3"/>
  <c r="E565" i="3"/>
  <c r="D565" i="3"/>
  <c r="H151" i="2"/>
  <c r="H149" i="2"/>
  <c r="H719" i="2" l="1"/>
  <c r="H370" i="61"/>
  <c r="G370" i="61"/>
  <c r="H368" i="61"/>
  <c r="G368" i="61"/>
  <c r="H374" i="61"/>
  <c r="G374" i="61"/>
  <c r="J400" i="2"/>
  <c r="I400" i="2"/>
  <c r="J398" i="2"/>
  <c r="I398" i="2"/>
  <c r="J405" i="2"/>
  <c r="I405" i="2"/>
  <c r="J403" i="2"/>
  <c r="J402" i="2" s="1"/>
  <c r="I403" i="2"/>
  <c r="I402" i="2" s="1"/>
  <c r="F391" i="3" l="1"/>
  <c r="E391" i="3"/>
  <c r="F389" i="3"/>
  <c r="E389" i="3"/>
  <c r="D389" i="3"/>
  <c r="D388" i="3" s="1"/>
  <c r="J256" i="2"/>
  <c r="I256" i="2"/>
  <c r="J254" i="2"/>
  <c r="J253" i="2" s="1"/>
  <c r="I254" i="2"/>
  <c r="I253" i="2" s="1"/>
  <c r="H254" i="2"/>
  <c r="H253" i="2" s="1"/>
  <c r="F250" i="61"/>
  <c r="E388" i="3" l="1"/>
  <c r="E387" i="3" s="1"/>
  <c r="F388" i="3"/>
  <c r="F387" i="3" s="1"/>
  <c r="F629" i="3"/>
  <c r="E629" i="3"/>
  <c r="D629" i="3"/>
  <c r="J37" i="2"/>
  <c r="I37" i="2"/>
  <c r="H37" i="2"/>
  <c r="G59" i="61"/>
  <c r="H59" i="61"/>
  <c r="F59" i="61"/>
  <c r="E363" i="3" l="1"/>
  <c r="F363" i="3"/>
  <c r="D363" i="3"/>
  <c r="D255" i="3" l="1"/>
  <c r="H229" i="2"/>
  <c r="H228" i="2" s="1"/>
  <c r="I755" i="2" l="1"/>
  <c r="J755" i="2"/>
  <c r="H755" i="2"/>
  <c r="E31" i="62" l="1"/>
  <c r="G31" i="62"/>
  <c r="F31" i="62"/>
  <c r="D31" i="62"/>
  <c r="C31" i="62"/>
  <c r="F478" i="3"/>
  <c r="E478" i="3"/>
  <c r="D478" i="3"/>
  <c r="F89" i="3" l="1"/>
  <c r="F88" i="3" s="1"/>
  <c r="E89" i="3"/>
  <c r="E88" i="3" s="1"/>
  <c r="D89" i="3"/>
  <c r="D88" i="3" s="1"/>
  <c r="H443" i="61"/>
  <c r="G443" i="61"/>
  <c r="F443" i="61"/>
  <c r="J535" i="2"/>
  <c r="J534" i="2" s="1"/>
  <c r="I535" i="2"/>
  <c r="I534" i="2" s="1"/>
  <c r="H535" i="2"/>
  <c r="H534" i="2" s="1"/>
  <c r="D461" i="3" l="1"/>
  <c r="D459" i="3"/>
  <c r="D523" i="3" l="1"/>
  <c r="D522" i="3" s="1"/>
  <c r="H454" i="2"/>
  <c r="H453" i="2" s="1"/>
  <c r="I305" i="2" l="1"/>
  <c r="J305" i="2"/>
  <c r="H305" i="2"/>
  <c r="H635" i="61" l="1"/>
  <c r="G635" i="61"/>
  <c r="J732" i="2" l="1"/>
  <c r="I732" i="2"/>
  <c r="H55" i="61"/>
  <c r="G55" i="61"/>
  <c r="E315" i="3"/>
  <c r="F315" i="3"/>
  <c r="D315" i="3"/>
  <c r="F96" i="3" l="1"/>
  <c r="E96" i="3"/>
  <c r="D96" i="3"/>
  <c r="H547" i="2"/>
  <c r="H546" i="2" s="1"/>
  <c r="F453" i="61"/>
  <c r="G453" i="61"/>
  <c r="H453" i="61"/>
  <c r="F55" i="61" l="1"/>
  <c r="H290" i="61" l="1"/>
  <c r="G290" i="61"/>
  <c r="F290" i="61"/>
  <c r="H732" i="2" l="1"/>
  <c r="F518" i="3" l="1"/>
  <c r="F517" i="3" s="1"/>
  <c r="E518" i="3"/>
  <c r="E517" i="3" s="1"/>
  <c r="D518" i="3"/>
  <c r="D517" i="3" s="1"/>
  <c r="F548" i="3" l="1"/>
  <c r="E548" i="3"/>
  <c r="D548" i="3" l="1"/>
  <c r="D547" i="3" s="1"/>
  <c r="E132" i="3"/>
  <c r="D132" i="3"/>
  <c r="F132" i="3"/>
  <c r="I602" i="2"/>
  <c r="H602" i="2"/>
  <c r="J602" i="2"/>
  <c r="G537" i="61"/>
  <c r="H537" i="61"/>
  <c r="F537" i="61"/>
  <c r="H213" i="61" l="1"/>
  <c r="G213" i="61"/>
  <c r="F213" i="61"/>
  <c r="J215" i="2"/>
  <c r="I215" i="2"/>
  <c r="H215" i="2"/>
  <c r="F569" i="3"/>
  <c r="E569" i="3"/>
  <c r="D569" i="3"/>
  <c r="H240" i="61"/>
  <c r="G240" i="61"/>
  <c r="F240" i="61"/>
  <c r="H238" i="61"/>
  <c r="G238" i="61"/>
  <c r="F238" i="61"/>
  <c r="H236" i="61"/>
  <c r="G236" i="61"/>
  <c r="F236" i="61"/>
  <c r="H234" i="61"/>
  <c r="G234" i="61"/>
  <c r="F234" i="61"/>
  <c r="J247" i="2"/>
  <c r="I247" i="2"/>
  <c r="H247" i="2"/>
  <c r="J245" i="2"/>
  <c r="I245" i="2"/>
  <c r="H245" i="2"/>
  <c r="J243" i="2"/>
  <c r="I243" i="2"/>
  <c r="H243" i="2"/>
  <c r="J241" i="2"/>
  <c r="I241" i="2"/>
  <c r="H241" i="2"/>
  <c r="H232" i="61"/>
  <c r="G232" i="61"/>
  <c r="F232" i="61"/>
  <c r="H230" i="61"/>
  <c r="G230" i="61"/>
  <c r="F230" i="61"/>
  <c r="H228" i="61"/>
  <c r="G228" i="61"/>
  <c r="F228" i="61"/>
  <c r="J238" i="2"/>
  <c r="I238" i="2"/>
  <c r="H238" i="2"/>
  <c r="J236" i="2"/>
  <c r="I236" i="2"/>
  <c r="H236" i="2"/>
  <c r="J234" i="2"/>
  <c r="I234" i="2"/>
  <c r="H234" i="2"/>
  <c r="H167" i="61"/>
  <c r="H166" i="61" s="1"/>
  <c r="G167" i="61"/>
  <c r="G166" i="61" s="1"/>
  <c r="F167" i="61"/>
  <c r="F166" i="61" s="1"/>
  <c r="I240" i="2" l="1"/>
  <c r="H227" i="61"/>
  <c r="J240" i="2"/>
  <c r="J233" i="2"/>
  <c r="H240" i="2"/>
  <c r="F227" i="61"/>
  <c r="G227" i="61"/>
  <c r="H233" i="2"/>
  <c r="I233" i="2"/>
  <c r="H315" i="2"/>
  <c r="H564" i="61" l="1"/>
  <c r="G564" i="61"/>
  <c r="F564" i="61"/>
  <c r="G561" i="61"/>
  <c r="H559" i="61"/>
  <c r="G559" i="61"/>
  <c r="F559" i="61"/>
  <c r="F561" i="61" l="1"/>
  <c r="H561" i="61"/>
  <c r="F257" i="3" l="1"/>
  <c r="E257" i="3"/>
  <c r="D257" i="3"/>
  <c r="D254" i="3" s="1"/>
  <c r="J158" i="2" l="1"/>
  <c r="J157" i="2" s="1"/>
  <c r="I158" i="2"/>
  <c r="I157" i="2" s="1"/>
  <c r="H158" i="2"/>
  <c r="H157" i="2" s="1"/>
  <c r="H159" i="61"/>
  <c r="H158" i="61" s="1"/>
  <c r="G159" i="61"/>
  <c r="G158" i="61" s="1"/>
  <c r="F159" i="61"/>
  <c r="F158" i="61" s="1"/>
  <c r="I156" i="2" l="1"/>
  <c r="I155" i="2" s="1"/>
  <c r="H156" i="2"/>
  <c r="H155" i="2" s="1"/>
  <c r="J156" i="2"/>
  <c r="J155" i="2" s="1"/>
  <c r="H157" i="61"/>
  <c r="F157" i="61"/>
  <c r="G157" i="61"/>
  <c r="H627" i="61"/>
  <c r="G627" i="61"/>
  <c r="F627" i="61"/>
  <c r="J454" i="2"/>
  <c r="J453" i="2" s="1"/>
  <c r="I454" i="2"/>
  <c r="I453" i="2" s="1"/>
  <c r="D360" i="3"/>
  <c r="H312" i="2"/>
  <c r="F50" i="61" l="1"/>
  <c r="H62" i="2"/>
  <c r="I47" i="2"/>
  <c r="J47" i="2"/>
  <c r="H47" i="2"/>
  <c r="H592" i="61" l="1"/>
  <c r="H591" i="61" s="1"/>
  <c r="G592" i="61"/>
  <c r="G591" i="61" s="1"/>
  <c r="H504" i="61"/>
  <c r="G504" i="61"/>
  <c r="F504" i="61"/>
  <c r="H502" i="61"/>
  <c r="G502" i="61"/>
  <c r="F502" i="61"/>
  <c r="J669" i="2"/>
  <c r="I669" i="2"/>
  <c r="H669" i="2"/>
  <c r="H500" i="61"/>
  <c r="G500" i="61"/>
  <c r="F500" i="61"/>
  <c r="H498" i="61"/>
  <c r="G498" i="61"/>
  <c r="F498" i="61"/>
  <c r="H496" i="61"/>
  <c r="G496" i="61"/>
  <c r="F496" i="61"/>
  <c r="H494" i="61"/>
  <c r="G494" i="61"/>
  <c r="F494" i="61"/>
  <c r="J666" i="2"/>
  <c r="I666" i="2"/>
  <c r="H666" i="2"/>
  <c r="J664" i="2"/>
  <c r="I664" i="2"/>
  <c r="H664" i="2"/>
  <c r="J662" i="2"/>
  <c r="I662" i="2"/>
  <c r="H662" i="2"/>
  <c r="J660" i="2"/>
  <c r="I660" i="2"/>
  <c r="H660" i="2"/>
  <c r="H638" i="61"/>
  <c r="H634" i="61" s="1"/>
  <c r="G638" i="61"/>
  <c r="G634" i="61" s="1"/>
  <c r="F638" i="61"/>
  <c r="F634" i="61" s="1"/>
  <c r="J745" i="2"/>
  <c r="I745" i="2"/>
  <c r="H745" i="2"/>
  <c r="H569" i="61"/>
  <c r="G569" i="61"/>
  <c r="F569" i="61"/>
  <c r="J707" i="2"/>
  <c r="J706" i="2" s="1"/>
  <c r="I707" i="2"/>
  <c r="I706" i="2" s="1"/>
  <c r="H707" i="2"/>
  <c r="H706" i="2" s="1"/>
  <c r="F197" i="3"/>
  <c r="E197" i="3"/>
  <c r="D197" i="3"/>
  <c r="J741" i="2" l="1"/>
  <c r="J740" i="2" s="1"/>
  <c r="H741" i="2"/>
  <c r="H740" i="2" s="1"/>
  <c r="I741" i="2"/>
  <c r="I740" i="2" s="1"/>
  <c r="D193" i="3"/>
  <c r="D192" i="3" s="1"/>
  <c r="E193" i="3"/>
  <c r="E192" i="3" s="1"/>
  <c r="F193" i="3"/>
  <c r="F192" i="3" s="1"/>
  <c r="F493" i="61"/>
  <c r="G493" i="61"/>
  <c r="H493" i="61"/>
  <c r="H633" i="61"/>
  <c r="G633" i="61"/>
  <c r="G577" i="61"/>
  <c r="G554" i="61" s="1"/>
  <c r="H577" i="61"/>
  <c r="H554" i="61" s="1"/>
  <c r="F577" i="61"/>
  <c r="F554" i="61" s="1"/>
  <c r="H553" i="61" l="1"/>
  <c r="G553" i="61"/>
  <c r="F185" i="3"/>
  <c r="F184" i="3" s="1"/>
  <c r="E185" i="3"/>
  <c r="E184" i="3" s="1"/>
  <c r="D185" i="3"/>
  <c r="D184" i="3" s="1"/>
  <c r="F439" i="3" l="1"/>
  <c r="E439" i="3"/>
  <c r="D439" i="3"/>
  <c r="F437" i="3"/>
  <c r="E437" i="3"/>
  <c r="D437" i="3"/>
  <c r="F443" i="3"/>
  <c r="F442" i="3" s="1"/>
  <c r="E443" i="3"/>
  <c r="E442" i="3" s="1"/>
  <c r="D443" i="3"/>
  <c r="D442" i="3" s="1"/>
  <c r="H515" i="61"/>
  <c r="H514" i="61" s="1"/>
  <c r="G515" i="61"/>
  <c r="G514" i="61" s="1"/>
  <c r="F515" i="61"/>
  <c r="F514" i="61" s="1"/>
  <c r="I685" i="2"/>
  <c r="I684" i="2" s="1"/>
  <c r="J685" i="2"/>
  <c r="J684" i="2" s="1"/>
  <c r="H685" i="2"/>
  <c r="H684" i="2" s="1"/>
  <c r="E436" i="3" l="1"/>
  <c r="E435" i="3" s="1"/>
  <c r="F436" i="3"/>
  <c r="F435" i="3" s="1"/>
  <c r="D436" i="3"/>
  <c r="D435" i="3" s="1"/>
  <c r="D441" i="3"/>
  <c r="J683" i="2"/>
  <c r="F441" i="3"/>
  <c r="E441" i="3"/>
  <c r="H683" i="2"/>
  <c r="I683" i="2"/>
  <c r="G429" i="61" l="1"/>
  <c r="H429" i="61"/>
  <c r="F429" i="61"/>
  <c r="H542" i="61"/>
  <c r="G542" i="61"/>
  <c r="F542" i="61"/>
  <c r="H540" i="61"/>
  <c r="G540" i="61"/>
  <c r="F540" i="61"/>
  <c r="H471" i="61"/>
  <c r="G471" i="61"/>
  <c r="F471" i="61"/>
  <c r="J567" i="2"/>
  <c r="I567" i="2"/>
  <c r="H567" i="2"/>
  <c r="H531" i="61"/>
  <c r="G531" i="61"/>
  <c r="F531" i="61"/>
  <c r="J594" i="2"/>
  <c r="I594" i="2"/>
  <c r="H594" i="2"/>
  <c r="H419" i="61" l="1"/>
  <c r="G419" i="61"/>
  <c r="F419" i="61"/>
  <c r="H417" i="61"/>
  <c r="G417" i="61"/>
  <c r="F417" i="61"/>
  <c r="H415" i="61"/>
  <c r="G415" i="61"/>
  <c r="F415" i="61"/>
  <c r="H628" i="2"/>
  <c r="I628" i="2"/>
  <c r="I495" i="2" l="1"/>
  <c r="H402" i="61"/>
  <c r="G402" i="61"/>
  <c r="F402" i="61"/>
  <c r="H400" i="61"/>
  <c r="G400" i="61"/>
  <c r="F400" i="61"/>
  <c r="H398" i="61"/>
  <c r="G398" i="61"/>
  <c r="F398" i="61"/>
  <c r="F397" i="61" l="1"/>
  <c r="H397" i="61"/>
  <c r="G397" i="61"/>
  <c r="H448" i="61"/>
  <c r="H447" i="61" s="1"/>
  <c r="G448" i="61"/>
  <c r="G447" i="61" s="1"/>
  <c r="F448" i="61"/>
  <c r="F447" i="61" s="1"/>
  <c r="J541" i="2"/>
  <c r="J540" i="2" s="1"/>
  <c r="I541" i="2"/>
  <c r="I540" i="2" s="1"/>
  <c r="H541" i="2"/>
  <c r="H540" i="2" s="1"/>
  <c r="F467" i="3"/>
  <c r="E467" i="3"/>
  <c r="D467" i="3"/>
  <c r="F465" i="3"/>
  <c r="E465" i="3"/>
  <c r="D465" i="3"/>
  <c r="F461" i="3"/>
  <c r="E461" i="3"/>
  <c r="F459" i="3"/>
  <c r="E459" i="3"/>
  <c r="F454" i="3"/>
  <c r="F453" i="3" s="1"/>
  <c r="F452" i="3" s="1"/>
  <c r="E454" i="3"/>
  <c r="E453" i="3" s="1"/>
  <c r="E452" i="3" s="1"/>
  <c r="D454" i="3"/>
  <c r="D453" i="3" s="1"/>
  <c r="D452" i="3" s="1"/>
  <c r="F450" i="3"/>
  <c r="E450" i="3"/>
  <c r="F448" i="3"/>
  <c r="E448" i="3"/>
  <c r="D458" i="3" l="1"/>
  <c r="D457" i="3" s="1"/>
  <c r="D464" i="3"/>
  <c r="D463" i="3" s="1"/>
  <c r="E464" i="3"/>
  <c r="E463" i="3" s="1"/>
  <c r="E458" i="3"/>
  <c r="E457" i="3" s="1"/>
  <c r="E447" i="3"/>
  <c r="F458" i="3"/>
  <c r="F457" i="3" s="1"/>
  <c r="F447" i="3"/>
  <c r="F464" i="3"/>
  <c r="F463" i="3" s="1"/>
  <c r="D447" i="3"/>
  <c r="F384" i="3"/>
  <c r="F383" i="3" s="1"/>
  <c r="E384" i="3"/>
  <c r="E383" i="3" s="1"/>
  <c r="D384" i="3"/>
  <c r="D383" i="3" s="1"/>
  <c r="F381" i="3"/>
  <c r="F380" i="3" s="1"/>
  <c r="E381" i="3"/>
  <c r="E380" i="3" s="1"/>
  <c r="D381" i="3"/>
  <c r="D380" i="3" s="1"/>
  <c r="F375" i="3"/>
  <c r="F374" i="3" s="1"/>
  <c r="E375" i="3"/>
  <c r="E374" i="3" s="1"/>
  <c r="D375" i="3"/>
  <c r="D374" i="3" s="1"/>
  <c r="F369" i="3"/>
  <c r="E369" i="3"/>
  <c r="D369" i="3"/>
  <c r="F365" i="3"/>
  <c r="F362" i="3" s="1"/>
  <c r="E365" i="3"/>
  <c r="E362" i="3" s="1"/>
  <c r="D365" i="3"/>
  <c r="D362" i="3" s="1"/>
  <c r="F360" i="3"/>
  <c r="F359" i="3" s="1"/>
  <c r="E360" i="3"/>
  <c r="E359" i="3" s="1"/>
  <c r="D359" i="3"/>
  <c r="H333" i="2"/>
  <c r="H332" i="2" s="1"/>
  <c r="I333" i="2"/>
  <c r="I332" i="2" s="1"/>
  <c r="J333" i="2"/>
  <c r="J332" i="2" s="1"/>
  <c r="H336" i="2"/>
  <c r="H335" i="2" s="1"/>
  <c r="I336" i="2"/>
  <c r="I335" i="2" s="1"/>
  <c r="J336" i="2"/>
  <c r="J335" i="2" s="1"/>
  <c r="D379" i="3" l="1"/>
  <c r="F368" i="3"/>
  <c r="F367" i="3" s="1"/>
  <c r="E379" i="3"/>
  <c r="F358" i="3"/>
  <c r="D368" i="3"/>
  <c r="D367" i="3" s="1"/>
  <c r="D358" i="3"/>
  <c r="E368" i="3"/>
  <c r="E367" i="3" s="1"/>
  <c r="E358" i="3"/>
  <c r="F379" i="3"/>
  <c r="F348" i="3"/>
  <c r="F347" i="3" s="1"/>
  <c r="E348" i="3"/>
  <c r="E347" i="3" s="1"/>
  <c r="D348" i="3"/>
  <c r="D347" i="3" s="1"/>
  <c r="F345" i="3"/>
  <c r="F344" i="3" s="1"/>
  <c r="E345" i="3"/>
  <c r="E344" i="3" s="1"/>
  <c r="D345" i="3"/>
  <c r="D344" i="3" s="1"/>
  <c r="F326" i="3"/>
  <c r="F325" i="3" s="1"/>
  <c r="E326" i="3"/>
  <c r="E325" i="3" s="1"/>
  <c r="D326" i="3"/>
  <c r="D325" i="3" s="1"/>
  <c r="D321" i="3"/>
  <c r="F321" i="3"/>
  <c r="E321" i="3"/>
  <c r="F329" i="3" l="1"/>
  <c r="D320" i="3"/>
  <c r="F343" i="3"/>
  <c r="F320" i="3"/>
  <c r="D343" i="3"/>
  <c r="D329" i="3"/>
  <c r="E329" i="3"/>
  <c r="E320" i="3"/>
  <c r="E343" i="3"/>
  <c r="F328" i="3" l="1"/>
  <c r="E328" i="3"/>
  <c r="D328" i="3"/>
  <c r="E617" i="3"/>
  <c r="F617" i="3"/>
  <c r="D617" i="3"/>
  <c r="H180" i="61" l="1"/>
  <c r="G180" i="61"/>
  <c r="F180" i="61"/>
  <c r="H178" i="61"/>
  <c r="G178" i="61"/>
  <c r="F178" i="61"/>
  <c r="H174" i="61"/>
  <c r="G174" i="61"/>
  <c r="F174" i="61"/>
  <c r="H172" i="61"/>
  <c r="G172" i="61"/>
  <c r="F172" i="61"/>
  <c r="H201" i="61"/>
  <c r="G201" i="61"/>
  <c r="F201" i="61"/>
  <c r="H199" i="61"/>
  <c r="G199" i="61"/>
  <c r="F199" i="61"/>
  <c r="H197" i="61"/>
  <c r="G197" i="61"/>
  <c r="F197" i="61"/>
  <c r="H195" i="61"/>
  <c r="G195" i="61"/>
  <c r="F195" i="61"/>
  <c r="H193" i="61"/>
  <c r="G193" i="61"/>
  <c r="F193" i="61"/>
  <c r="H189" i="61"/>
  <c r="G189" i="61"/>
  <c r="F189" i="61"/>
  <c r="H187" i="61"/>
  <c r="G187" i="61"/>
  <c r="F187" i="61"/>
  <c r="H185" i="61"/>
  <c r="G185" i="61"/>
  <c r="F185" i="61"/>
  <c r="G184" i="61" l="1"/>
  <c r="H184" i="61"/>
  <c r="F184" i="61"/>
  <c r="F171" i="61"/>
  <c r="H171" i="61"/>
  <c r="G171" i="61"/>
  <c r="J184" i="2"/>
  <c r="I184" i="2"/>
  <c r="H184" i="2"/>
  <c r="H217" i="61"/>
  <c r="G217" i="61"/>
  <c r="F217" i="61"/>
  <c r="H215" i="61"/>
  <c r="G215" i="61"/>
  <c r="F215" i="61"/>
  <c r="H211" i="61"/>
  <c r="G211" i="61"/>
  <c r="F211" i="61"/>
  <c r="H207" i="61"/>
  <c r="G207" i="61"/>
  <c r="F207" i="61"/>
  <c r="J213" i="2"/>
  <c r="I213" i="2"/>
  <c r="H213" i="2"/>
  <c r="J209" i="2"/>
  <c r="I209" i="2"/>
  <c r="H209" i="2"/>
  <c r="G153" i="61"/>
  <c r="F153" i="61"/>
  <c r="G151" i="61"/>
  <c r="F151" i="61"/>
  <c r="G206" i="61" l="1"/>
  <c r="J208" i="2"/>
  <c r="I208" i="2"/>
  <c r="H208" i="2"/>
  <c r="H206" i="61"/>
  <c r="F206" i="61"/>
  <c r="J229" i="2"/>
  <c r="J228" i="2" s="1"/>
  <c r="I229" i="2"/>
  <c r="I228" i="2" s="1"/>
  <c r="F255" i="3"/>
  <c r="F254" i="3" s="1"/>
  <c r="E255" i="3"/>
  <c r="E254" i="3" s="1"/>
  <c r="G248" i="61" l="1"/>
  <c r="G246" i="61"/>
  <c r="F372" i="61"/>
  <c r="H372" i="61"/>
  <c r="H367" i="61" s="1"/>
  <c r="G372" i="61"/>
  <c r="G367" i="61" s="1"/>
  <c r="J397" i="2"/>
  <c r="I397" i="2"/>
  <c r="H397" i="2"/>
  <c r="G245" i="61" l="1"/>
  <c r="H248" i="61"/>
  <c r="F248" i="61"/>
  <c r="H246" i="61"/>
  <c r="H245" i="61" s="1"/>
  <c r="F246" i="61"/>
  <c r="F245" i="61" s="1"/>
  <c r="H288" i="61"/>
  <c r="G288" i="61"/>
  <c r="F288" i="61"/>
  <c r="H286" i="61"/>
  <c r="G286" i="61"/>
  <c r="F286" i="61"/>
  <c r="H284" i="61"/>
  <c r="G284" i="61"/>
  <c r="F284" i="61"/>
  <c r="H282" i="61"/>
  <c r="G282" i="61"/>
  <c r="F282" i="61"/>
  <c r="J303" i="2"/>
  <c r="I303" i="2"/>
  <c r="H303" i="2"/>
  <c r="J301" i="2"/>
  <c r="I301" i="2"/>
  <c r="H301" i="2"/>
  <c r="J299" i="2"/>
  <c r="I299" i="2"/>
  <c r="H299" i="2"/>
  <c r="J297" i="2"/>
  <c r="I297" i="2"/>
  <c r="H297" i="2"/>
  <c r="H392" i="61"/>
  <c r="G392" i="61"/>
  <c r="F392" i="61"/>
  <c r="H390" i="61"/>
  <c r="G390" i="61"/>
  <c r="F390" i="61"/>
  <c r="J426" i="2"/>
  <c r="I426" i="2"/>
  <c r="H426" i="2"/>
  <c r="J424" i="2"/>
  <c r="I424" i="2"/>
  <c r="H424" i="2"/>
  <c r="H657" i="61"/>
  <c r="G657" i="61"/>
  <c r="F657" i="61"/>
  <c r="H655" i="61"/>
  <c r="G655" i="61"/>
  <c r="F655" i="61"/>
  <c r="H653" i="61"/>
  <c r="G653" i="61"/>
  <c r="F653" i="61"/>
  <c r="H651" i="61"/>
  <c r="G651" i="61"/>
  <c r="F651" i="61"/>
  <c r="H649" i="61"/>
  <c r="G649" i="61"/>
  <c r="F649" i="61"/>
  <c r="H647" i="61"/>
  <c r="G647" i="61"/>
  <c r="F647" i="61"/>
  <c r="J475" i="2"/>
  <c r="I475" i="2"/>
  <c r="H475" i="2"/>
  <c r="J473" i="2"/>
  <c r="I473" i="2"/>
  <c r="H473" i="2"/>
  <c r="J470" i="2"/>
  <c r="I470" i="2"/>
  <c r="H470" i="2"/>
  <c r="J468" i="2"/>
  <c r="I468" i="2"/>
  <c r="H468" i="2"/>
  <c r="J466" i="2"/>
  <c r="I466" i="2"/>
  <c r="H466" i="2"/>
  <c r="J464" i="2"/>
  <c r="I464" i="2"/>
  <c r="H464" i="2"/>
  <c r="I296" i="2" l="1"/>
  <c r="J296" i="2"/>
  <c r="J295" i="2" s="1"/>
  <c r="H296" i="2"/>
  <c r="H295" i="2" s="1"/>
  <c r="G281" i="61"/>
  <c r="H281" i="61"/>
  <c r="F281" i="61"/>
  <c r="I295" i="2"/>
  <c r="H472" i="2"/>
  <c r="I472" i="2"/>
  <c r="J472" i="2"/>
  <c r="E599" i="3"/>
  <c r="D599" i="3"/>
  <c r="F599" i="3"/>
  <c r="I765" i="2"/>
  <c r="I764" i="2" s="1"/>
  <c r="I763" i="2" s="1"/>
  <c r="I762" i="2" s="1"/>
  <c r="H765" i="2"/>
  <c r="H764" i="2" s="1"/>
  <c r="H763" i="2" s="1"/>
  <c r="H762" i="2" s="1"/>
  <c r="J765" i="2"/>
  <c r="J764" i="2" s="1"/>
  <c r="J763" i="2" s="1"/>
  <c r="J762" i="2" s="1"/>
  <c r="G662" i="61"/>
  <c r="G661" i="61" s="1"/>
  <c r="G660" i="61" s="1"/>
  <c r="G659" i="61" s="1"/>
  <c r="F662" i="61"/>
  <c r="F661" i="61" s="1"/>
  <c r="F660" i="61" s="1"/>
  <c r="F659" i="61" s="1"/>
  <c r="H662" i="61"/>
  <c r="H661" i="61" s="1"/>
  <c r="H660" i="61" s="1"/>
  <c r="H659" i="61" s="1"/>
  <c r="G64" i="1"/>
  <c r="F64" i="1"/>
  <c r="E64" i="1"/>
  <c r="F313" i="3" l="1"/>
  <c r="E313" i="3"/>
  <c r="D313" i="3"/>
  <c r="F311" i="3"/>
  <c r="E311" i="3"/>
  <c r="D311" i="3"/>
  <c r="F309" i="3"/>
  <c r="E309" i="3"/>
  <c r="D309" i="3"/>
  <c r="F307" i="3"/>
  <c r="E307" i="3"/>
  <c r="D307" i="3"/>
  <c r="E281" i="3"/>
  <c r="F281" i="3"/>
  <c r="D281" i="3"/>
  <c r="D306" i="3" l="1"/>
  <c r="E306" i="3"/>
  <c r="F306" i="3"/>
  <c r="F272" i="3"/>
  <c r="E272" i="3"/>
  <c r="D272" i="3"/>
  <c r="G582" i="61" l="1"/>
  <c r="H582" i="61"/>
  <c r="F582" i="61"/>
  <c r="J654" i="2" l="1"/>
  <c r="J653" i="2" s="1"/>
  <c r="J650" i="2" s="1"/>
  <c r="J642" i="2" s="1"/>
  <c r="I654" i="2"/>
  <c r="I653" i="2" s="1"/>
  <c r="I650" i="2" s="1"/>
  <c r="I642" i="2" s="1"/>
  <c r="H654" i="2"/>
  <c r="H653" i="2" s="1"/>
  <c r="H580" i="61"/>
  <c r="H579" i="61" s="1"/>
  <c r="G580" i="61"/>
  <c r="G579" i="61" s="1"/>
  <c r="F580" i="61"/>
  <c r="F579" i="61" s="1"/>
  <c r="F593" i="3"/>
  <c r="E593" i="3"/>
  <c r="D593" i="3"/>
  <c r="J570" i="2"/>
  <c r="J569" i="2" s="1"/>
  <c r="I570" i="2"/>
  <c r="I569" i="2" s="1"/>
  <c r="H570" i="2"/>
  <c r="H569" i="2" s="1"/>
  <c r="H484" i="61"/>
  <c r="H483" i="61" s="1"/>
  <c r="G484" i="61"/>
  <c r="G483" i="61" s="1"/>
  <c r="F484" i="61"/>
  <c r="F483" i="61" s="1"/>
  <c r="F601" i="3"/>
  <c r="E601" i="3"/>
  <c r="D601" i="3"/>
  <c r="J338" i="2"/>
  <c r="I338" i="2"/>
  <c r="H338" i="2"/>
  <c r="H318" i="61"/>
  <c r="H317" i="61" s="1"/>
  <c r="G318" i="61"/>
  <c r="G317" i="61" s="1"/>
  <c r="F318" i="61"/>
  <c r="F317" i="61" s="1"/>
  <c r="F32" i="1" l="1"/>
  <c r="G32" i="1"/>
  <c r="I92" i="2"/>
  <c r="I91" i="2" s="1"/>
  <c r="I113" i="2"/>
  <c r="I110" i="2" s="1"/>
  <c r="I141" i="2"/>
  <c r="I140" i="2" s="1"/>
  <c r="I166" i="2"/>
  <c r="I165" i="2" s="1"/>
  <c r="I164" i="2" s="1"/>
  <c r="I163" i="2" s="1"/>
  <c r="I154" i="2" s="1"/>
  <c r="J166" i="2"/>
  <c r="J165" i="2" s="1"/>
  <c r="J164" i="2" s="1"/>
  <c r="J163" i="2" s="1"/>
  <c r="J154" i="2" s="1"/>
  <c r="I433" i="2"/>
  <c r="I432" i="2" s="1"/>
  <c r="J433" i="2"/>
  <c r="J432" i="2" s="1"/>
  <c r="I439" i="2"/>
  <c r="I437" i="2" s="1"/>
  <c r="I436" i="2" s="1"/>
  <c r="I435" i="2" s="1"/>
  <c r="J439" i="2"/>
  <c r="J437" i="2" s="1"/>
  <c r="J436" i="2" s="1"/>
  <c r="J435" i="2" s="1"/>
  <c r="I226" i="2"/>
  <c r="I225" i="2" s="1"/>
  <c r="J226" i="2"/>
  <c r="J225" i="2" s="1"/>
  <c r="J141" i="2"/>
  <c r="J140" i="2" s="1"/>
  <c r="J113" i="2"/>
  <c r="J110" i="2" s="1"/>
  <c r="J92" i="2"/>
  <c r="J91" i="2" s="1"/>
  <c r="I67" i="2"/>
  <c r="J67" i="2"/>
  <c r="I51" i="2"/>
  <c r="J51" i="2"/>
  <c r="I45" i="2"/>
  <c r="I44" i="2" s="1"/>
  <c r="J46" i="2"/>
  <c r="H140" i="61"/>
  <c r="G140" i="61"/>
  <c r="F140" i="61"/>
  <c r="H141" i="2"/>
  <c r="J668" i="2"/>
  <c r="I668" i="2"/>
  <c r="H668" i="2"/>
  <c r="H587" i="61"/>
  <c r="H586" i="61" s="1"/>
  <c r="G587" i="61"/>
  <c r="G586" i="61" s="1"/>
  <c r="F587" i="61"/>
  <c r="F586" i="61" s="1"/>
  <c r="J728" i="2"/>
  <c r="J727" i="2" s="1"/>
  <c r="I728" i="2"/>
  <c r="I727" i="2" s="1"/>
  <c r="H728" i="2"/>
  <c r="H727" i="2" s="1"/>
  <c r="J717" i="2"/>
  <c r="J716" i="2" s="1"/>
  <c r="I717" i="2"/>
  <c r="I716" i="2" s="1"/>
  <c r="H717" i="2"/>
  <c r="H716" i="2" s="1"/>
  <c r="H479" i="61"/>
  <c r="G479" i="61"/>
  <c r="F479" i="61"/>
  <c r="H477" i="61"/>
  <c r="G477" i="61"/>
  <c r="F477" i="61"/>
  <c r="H475" i="61"/>
  <c r="G475" i="61"/>
  <c r="F475" i="61"/>
  <c r="F474" i="61" l="1"/>
  <c r="G474" i="61"/>
  <c r="H474" i="61"/>
  <c r="J408" i="2"/>
  <c r="J407" i="2" s="1"/>
  <c r="I408" i="2"/>
  <c r="I407" i="2" s="1"/>
  <c r="H659" i="2"/>
  <c r="H658" i="2" s="1"/>
  <c r="H657" i="2" s="1"/>
  <c r="H170" i="2"/>
  <c r="I183" i="2"/>
  <c r="J170" i="2"/>
  <c r="J169" i="2" s="1"/>
  <c r="J168" i="2" s="1"/>
  <c r="I170" i="2"/>
  <c r="I169" i="2" s="1"/>
  <c r="I168" i="2" s="1"/>
  <c r="I659" i="2"/>
  <c r="I658" i="2" s="1"/>
  <c r="I657" i="2" s="1"/>
  <c r="J183" i="2"/>
  <c r="I112" i="2"/>
  <c r="I111" i="2" s="1"/>
  <c r="J431" i="2"/>
  <c r="J430" i="2" s="1"/>
  <c r="J429" i="2" s="1"/>
  <c r="I431" i="2"/>
  <c r="I430" i="2" s="1"/>
  <c r="I429" i="2" s="1"/>
  <c r="J438" i="2"/>
  <c r="I438" i="2"/>
  <c r="J112" i="2"/>
  <c r="J111" i="2" s="1"/>
  <c r="I46" i="2"/>
  <c r="J45" i="2"/>
  <c r="J44" i="2" s="1"/>
  <c r="H690" i="2"/>
  <c r="I690" i="2"/>
  <c r="J690" i="2"/>
  <c r="J659" i="2"/>
  <c r="J658" i="2" s="1"/>
  <c r="J657" i="2" s="1"/>
  <c r="J739" i="2" l="1"/>
  <c r="J738" i="2" s="1"/>
  <c r="J737" i="2" s="1"/>
  <c r="I739" i="2"/>
  <c r="I738" i="2" s="1"/>
  <c r="I737" i="2" s="1"/>
  <c r="I641" i="2"/>
  <c r="I640" i="2" s="1"/>
  <c r="J641" i="2"/>
  <c r="J640" i="2" s="1"/>
  <c r="J689" i="2"/>
  <c r="J688" i="2" s="1"/>
  <c r="I689" i="2"/>
  <c r="I688" i="2" s="1"/>
  <c r="J124" i="2"/>
  <c r="J123" i="2" s="1"/>
  <c r="I124" i="2"/>
  <c r="I123" i="2" s="1"/>
  <c r="H124" i="2"/>
  <c r="H123" i="2" s="1"/>
  <c r="H147" i="61"/>
  <c r="G147" i="61"/>
  <c r="F147" i="61"/>
  <c r="J637" i="2"/>
  <c r="J636" i="2" s="1"/>
  <c r="I637" i="2"/>
  <c r="I636" i="2" s="1"/>
  <c r="I635" i="2" s="1"/>
  <c r="I634" i="2" s="1"/>
  <c r="I633" i="2" s="1"/>
  <c r="H637" i="2"/>
  <c r="H636" i="2" s="1"/>
  <c r="H134" i="61" l="1"/>
  <c r="H135" i="2"/>
  <c r="H134" i="2" s="1"/>
  <c r="F134" i="61"/>
  <c r="G134" i="61"/>
  <c r="J678" i="2"/>
  <c r="J677" i="2" s="1"/>
  <c r="H129" i="2"/>
  <c r="H128" i="2" s="1"/>
  <c r="I135" i="2"/>
  <c r="I134" i="2" s="1"/>
  <c r="J135" i="2"/>
  <c r="J134" i="2" s="1"/>
  <c r="D571" i="3"/>
  <c r="I129" i="2"/>
  <c r="I128" i="2" s="1"/>
  <c r="I118" i="2"/>
  <c r="I117" i="2"/>
  <c r="J117" i="2"/>
  <c r="J118" i="2"/>
  <c r="H678" i="2"/>
  <c r="H677" i="2" s="1"/>
  <c r="H676" i="2" s="1"/>
  <c r="J217" i="2"/>
  <c r="J129" i="2"/>
  <c r="J128" i="2" s="1"/>
  <c r="E571" i="3"/>
  <c r="H217" i="2"/>
  <c r="I678" i="2"/>
  <c r="I677" i="2" s="1"/>
  <c r="I217" i="2"/>
  <c r="F571" i="3"/>
  <c r="H117" i="2"/>
  <c r="H207" i="2" l="1"/>
  <c r="H206" i="2" s="1"/>
  <c r="I207" i="2"/>
  <c r="I206" i="2" s="1"/>
  <c r="I182" i="2" s="1"/>
  <c r="J116" i="2"/>
  <c r="J115" i="2" s="1"/>
  <c r="J207" i="2"/>
  <c r="J206" i="2" s="1"/>
  <c r="J182" i="2" s="1"/>
  <c r="H116" i="2"/>
  <c r="I116" i="2"/>
  <c r="I115" i="2" s="1"/>
  <c r="H408" i="2" l="1"/>
  <c r="H407" i="2" s="1"/>
  <c r="G376" i="61" l="1"/>
  <c r="H376" i="61"/>
  <c r="F367" i="61"/>
  <c r="J396" i="2"/>
  <c r="J395" i="2" s="1"/>
  <c r="I396" i="2"/>
  <c r="I395" i="2" s="1"/>
  <c r="H396" i="2"/>
  <c r="H395" i="2" s="1"/>
  <c r="F41" i="1"/>
  <c r="G41" i="1"/>
  <c r="E41" i="1"/>
  <c r="H347" i="61" l="1"/>
  <c r="F347" i="61"/>
  <c r="G347" i="61"/>
  <c r="H439" i="2"/>
  <c r="H629" i="61"/>
  <c r="H622" i="61" s="1"/>
  <c r="G629" i="61"/>
  <c r="G622" i="61" s="1"/>
  <c r="F629" i="61"/>
  <c r="F622" i="61" s="1"/>
  <c r="J457" i="2"/>
  <c r="J456" i="2" s="1"/>
  <c r="I457" i="2"/>
  <c r="I456" i="2" s="1"/>
  <c r="H457" i="2"/>
  <c r="H456" i="2" s="1"/>
  <c r="H277" i="61"/>
  <c r="G277" i="61"/>
  <c r="F277" i="61"/>
  <c r="H275" i="61"/>
  <c r="G275" i="61"/>
  <c r="F275" i="61"/>
  <c r="H272" i="61"/>
  <c r="G272" i="61"/>
  <c r="F272" i="61"/>
  <c r="H270" i="61"/>
  <c r="G270" i="61"/>
  <c r="F270" i="61"/>
  <c r="H266" i="61"/>
  <c r="G266" i="61"/>
  <c r="F266" i="61"/>
  <c r="H264" i="61"/>
  <c r="G264" i="61"/>
  <c r="F264" i="61"/>
  <c r="H262" i="61"/>
  <c r="G262" i="61"/>
  <c r="F262" i="61"/>
  <c r="J291" i="2"/>
  <c r="J290" i="2" s="1"/>
  <c r="I291" i="2"/>
  <c r="I290" i="2" s="1"/>
  <c r="H291" i="2"/>
  <c r="H290" i="2" s="1"/>
  <c r="J288" i="2"/>
  <c r="J287" i="2" s="1"/>
  <c r="I288" i="2"/>
  <c r="I287" i="2" s="1"/>
  <c r="H288" i="2"/>
  <c r="H287" i="2" s="1"/>
  <c r="G261" i="61" l="1"/>
  <c r="F261" i="61"/>
  <c r="H261" i="61"/>
  <c r="H327" i="61"/>
  <c r="I272" i="2"/>
  <c r="I271" i="2" s="1"/>
  <c r="J286" i="2"/>
  <c r="G327" i="61"/>
  <c r="F327" i="61"/>
  <c r="H286" i="2"/>
  <c r="H272" i="2"/>
  <c r="H271" i="2" s="1"/>
  <c r="J272" i="2"/>
  <c r="J271" i="2" s="1"/>
  <c r="I286" i="2"/>
  <c r="H224" i="61"/>
  <c r="G224" i="61"/>
  <c r="F224" i="61"/>
  <c r="H222" i="61"/>
  <c r="G222" i="61"/>
  <c r="F222" i="61"/>
  <c r="J224" i="2"/>
  <c r="J223" i="2" s="1"/>
  <c r="I224" i="2"/>
  <c r="I223" i="2" s="1"/>
  <c r="H226" i="2"/>
  <c r="H225" i="2" s="1"/>
  <c r="H72" i="61"/>
  <c r="H71" i="61" s="1"/>
  <c r="G72" i="61"/>
  <c r="G71" i="61" s="1"/>
  <c r="F72" i="61"/>
  <c r="F71" i="61" s="1"/>
  <c r="H464" i="61"/>
  <c r="G464" i="61"/>
  <c r="F464" i="61"/>
  <c r="J559" i="2"/>
  <c r="I559" i="2"/>
  <c r="H559" i="2"/>
  <c r="H546" i="61"/>
  <c r="G546" i="61"/>
  <c r="F546" i="61"/>
  <c r="J612" i="2"/>
  <c r="I612" i="2"/>
  <c r="H612" i="2"/>
  <c r="H525" i="61"/>
  <c r="J581" i="2"/>
  <c r="H535" i="61"/>
  <c r="G535" i="61"/>
  <c r="F535" i="61"/>
  <c r="J600" i="2"/>
  <c r="I600" i="2"/>
  <c r="H600" i="2"/>
  <c r="H529" i="61"/>
  <c r="G529" i="61"/>
  <c r="F529" i="61"/>
  <c r="H533" i="61"/>
  <c r="G533" i="61"/>
  <c r="F533" i="61"/>
  <c r="J597" i="2"/>
  <c r="I597" i="2"/>
  <c r="H597" i="2"/>
  <c r="H489" i="61"/>
  <c r="G489" i="61"/>
  <c r="F489" i="61"/>
  <c r="J576" i="2"/>
  <c r="I576" i="2"/>
  <c r="H576" i="2"/>
  <c r="H470" i="61"/>
  <c r="G470" i="61"/>
  <c r="F470" i="61"/>
  <c r="J566" i="2"/>
  <c r="J565" i="2" s="1"/>
  <c r="I566" i="2"/>
  <c r="I565" i="2" s="1"/>
  <c r="H566" i="2"/>
  <c r="H565" i="2" s="1"/>
  <c r="G525" i="61"/>
  <c r="F525" i="61"/>
  <c r="I581" i="2"/>
  <c r="H581" i="2"/>
  <c r="F112" i="3"/>
  <c r="E112" i="3"/>
  <c r="D112" i="3"/>
  <c r="F110" i="3"/>
  <c r="E110" i="3"/>
  <c r="D110" i="3"/>
  <c r="F108" i="3"/>
  <c r="E108" i="3"/>
  <c r="D108" i="3"/>
  <c r="J563" i="2"/>
  <c r="I563" i="2"/>
  <c r="H563" i="2"/>
  <c r="J561" i="2"/>
  <c r="I561" i="2"/>
  <c r="H561" i="2"/>
  <c r="H431" i="61"/>
  <c r="H408" i="61" s="1"/>
  <c r="G431" i="61"/>
  <c r="G408" i="61" s="1"/>
  <c r="F431" i="61"/>
  <c r="F408" i="61" s="1"/>
  <c r="F528" i="61" l="1"/>
  <c r="G528" i="61"/>
  <c r="H528" i="61"/>
  <c r="H407" i="61"/>
  <c r="G407" i="61"/>
  <c r="F221" i="61"/>
  <c r="H221" i="61"/>
  <c r="G221" i="61"/>
  <c r="J558" i="2"/>
  <c r="D107" i="3"/>
  <c r="E107" i="3"/>
  <c r="I558" i="2"/>
  <c r="H558" i="2"/>
  <c r="F107" i="3"/>
  <c r="G519" i="61"/>
  <c r="H519" i="61"/>
  <c r="F519" i="61"/>
  <c r="F26" i="3"/>
  <c r="E26" i="3"/>
  <c r="J66" i="2"/>
  <c r="J65" i="2" s="1"/>
  <c r="I66" i="2"/>
  <c r="I65" i="2" s="1"/>
  <c r="H224" i="2"/>
  <c r="H599" i="2"/>
  <c r="I599" i="2"/>
  <c r="J599" i="2"/>
  <c r="H315" i="61" l="1"/>
  <c r="G315" i="61"/>
  <c r="F315" i="61"/>
  <c r="H313" i="61"/>
  <c r="G313" i="61"/>
  <c r="F313" i="61"/>
  <c r="H308" i="61"/>
  <c r="G308" i="61"/>
  <c r="F308" i="61"/>
  <c r="H303" i="61"/>
  <c r="G303" i="61"/>
  <c r="F303" i="61"/>
  <c r="H300" i="61"/>
  <c r="G300" i="61"/>
  <c r="F300" i="61"/>
  <c r="H298" i="61"/>
  <c r="G298" i="61"/>
  <c r="F298" i="61"/>
  <c r="H296" i="61"/>
  <c r="G296" i="61"/>
  <c r="F296" i="61"/>
  <c r="J327" i="2"/>
  <c r="J326" i="2" s="1"/>
  <c r="I327" i="2"/>
  <c r="I326" i="2" s="1"/>
  <c r="H327" i="2"/>
  <c r="H326" i="2" s="1"/>
  <c r="J321" i="2"/>
  <c r="I321" i="2"/>
  <c r="H321" i="2"/>
  <c r="J317" i="2"/>
  <c r="I317" i="2"/>
  <c r="H317" i="2"/>
  <c r="H314" i="2" s="1"/>
  <c r="J315" i="2"/>
  <c r="I315" i="2"/>
  <c r="J312" i="2"/>
  <c r="J311" i="2" s="1"/>
  <c r="I312" i="2"/>
  <c r="I311" i="2" s="1"/>
  <c r="H311" i="2"/>
  <c r="F302" i="61" l="1"/>
  <c r="G302" i="61"/>
  <c r="H302" i="61"/>
  <c r="F312" i="61"/>
  <c r="J314" i="2"/>
  <c r="J310" i="2" s="1"/>
  <c r="I314" i="2"/>
  <c r="I310" i="2" s="1"/>
  <c r="G312" i="61"/>
  <c r="H312" i="61"/>
  <c r="H310" i="2"/>
  <c r="I331" i="2"/>
  <c r="H320" i="2"/>
  <c r="H319" i="2" s="1"/>
  <c r="H331" i="2"/>
  <c r="F295" i="61"/>
  <c r="G295" i="61"/>
  <c r="H295" i="61"/>
  <c r="J331" i="2"/>
  <c r="I320" i="2"/>
  <c r="I319" i="2" s="1"/>
  <c r="J320" i="2"/>
  <c r="J319" i="2" s="1"/>
  <c r="I463" i="2" l="1"/>
  <c r="J463" i="2"/>
  <c r="I309" i="2"/>
  <c r="J309" i="2"/>
  <c r="H309" i="2"/>
  <c r="H463" i="2"/>
  <c r="F646" i="61"/>
  <c r="G646" i="61"/>
  <c r="H646" i="61"/>
  <c r="I252" i="2" l="1"/>
  <c r="I251" i="2" s="1"/>
  <c r="J462" i="2"/>
  <c r="I462" i="2"/>
  <c r="H252" i="2"/>
  <c r="H462" i="2"/>
  <c r="J252" i="2"/>
  <c r="E355" i="3"/>
  <c r="F355" i="3"/>
  <c r="I460" i="2" l="1"/>
  <c r="I459" i="2" s="1"/>
  <c r="I461" i="2"/>
  <c r="J461" i="2"/>
  <c r="J460" i="2"/>
  <c r="J459" i="2" s="1"/>
  <c r="J344" i="2"/>
  <c r="J343" i="2" s="1"/>
  <c r="J342" i="2" s="1"/>
  <c r="J341" i="2" s="1"/>
  <c r="G322" i="61"/>
  <c r="G321" i="61" s="1"/>
  <c r="H344" i="2"/>
  <c r="H343" i="2" s="1"/>
  <c r="H342" i="2" s="1"/>
  <c r="H341" i="2" s="1"/>
  <c r="F322" i="61"/>
  <c r="I344" i="2"/>
  <c r="I343" i="2" s="1"/>
  <c r="I342" i="2" s="1"/>
  <c r="I341" i="2" s="1"/>
  <c r="H322" i="61"/>
  <c r="H321" i="61" s="1"/>
  <c r="E604" i="3"/>
  <c r="F604" i="3"/>
  <c r="D604" i="3"/>
  <c r="H104" i="61" l="1"/>
  <c r="G104" i="61"/>
  <c r="F104" i="61"/>
  <c r="J101" i="2"/>
  <c r="I101" i="2"/>
  <c r="H101" i="2"/>
  <c r="H34" i="61" l="1"/>
  <c r="G34" i="61"/>
  <c r="F34" i="61"/>
  <c r="H32" i="61"/>
  <c r="G32" i="61"/>
  <c r="F32" i="61"/>
  <c r="I27" i="2"/>
  <c r="I26" i="2" s="1"/>
  <c r="I25" i="2" s="1"/>
  <c r="I24" i="2" s="1"/>
  <c r="I23" i="2" s="1"/>
  <c r="J27" i="2"/>
  <c r="J26" i="2" s="1"/>
  <c r="J25" i="2" s="1"/>
  <c r="J24" i="2" s="1"/>
  <c r="J23" i="2" s="1"/>
  <c r="H116" i="61"/>
  <c r="G116" i="61"/>
  <c r="F116" i="61"/>
  <c r="H113" i="2"/>
  <c r="E547" i="3" l="1"/>
  <c r="F547" i="3"/>
  <c r="H433" i="2" l="1"/>
  <c r="H432" i="2" s="1"/>
  <c r="H107" i="61"/>
  <c r="G107" i="61"/>
  <c r="F107" i="61"/>
  <c r="J628" i="2" l="1"/>
  <c r="H618" i="61"/>
  <c r="H609" i="61"/>
  <c r="G609" i="61"/>
  <c r="F609" i="61"/>
  <c r="H605" i="61"/>
  <c r="G605" i="61"/>
  <c r="F605" i="61"/>
  <c r="H600" i="61"/>
  <c r="G600" i="61"/>
  <c r="F600" i="61"/>
  <c r="H438" i="2"/>
  <c r="E513" i="3"/>
  <c r="F513" i="3"/>
  <c r="D513" i="3"/>
  <c r="F509" i="3" l="1"/>
  <c r="E509" i="3"/>
  <c r="D509" i="3"/>
  <c r="H129" i="61"/>
  <c r="G125" i="61"/>
  <c r="H125" i="61"/>
  <c r="F125" i="61"/>
  <c r="H120" i="61"/>
  <c r="F139" i="61"/>
  <c r="G139" i="61"/>
  <c r="H139" i="61"/>
  <c r="H146" i="61"/>
  <c r="G146" i="61"/>
  <c r="F146" i="61"/>
  <c r="D508" i="3" l="1"/>
  <c r="D507" i="3" s="1"/>
  <c r="E508" i="3"/>
  <c r="E507" i="3" s="1"/>
  <c r="F508" i="3"/>
  <c r="F507" i="3" s="1"/>
  <c r="I676" i="2"/>
  <c r="G129" i="61"/>
  <c r="F509" i="61"/>
  <c r="F508" i="61" s="1"/>
  <c r="F120" i="61"/>
  <c r="H509" i="61"/>
  <c r="H508" i="61" s="1"/>
  <c r="G509" i="61"/>
  <c r="G508" i="61" s="1"/>
  <c r="H119" i="61"/>
  <c r="F129" i="61"/>
  <c r="G120" i="61"/>
  <c r="J676" i="2"/>
  <c r="H656" i="2"/>
  <c r="I656" i="2" l="1"/>
  <c r="I639" i="2" s="1"/>
  <c r="J656" i="2"/>
  <c r="J639" i="2" s="1"/>
  <c r="G119" i="61"/>
  <c r="F119" i="61"/>
  <c r="F294" i="61" l="1"/>
  <c r="G294" i="61"/>
  <c r="H294" i="61"/>
  <c r="F321" i="61" l="1"/>
  <c r="H259" i="61"/>
  <c r="G259" i="61"/>
  <c r="F259" i="61"/>
  <c r="J264" i="2"/>
  <c r="I264" i="2"/>
  <c r="H264" i="2"/>
  <c r="J263" i="2" l="1"/>
  <c r="I263" i="2"/>
  <c r="H263" i="2"/>
  <c r="I262" i="2" l="1"/>
  <c r="I261" i="2" s="1"/>
  <c r="J262" i="2"/>
  <c r="J261" i="2" s="1"/>
  <c r="E304" i="3"/>
  <c r="F304" i="3"/>
  <c r="D304" i="3"/>
  <c r="F389" i="61" l="1"/>
  <c r="F388" i="61" s="1"/>
  <c r="F387" i="61" s="1"/>
  <c r="H389" i="61"/>
  <c r="H388" i="61" s="1"/>
  <c r="H387" i="61" s="1"/>
  <c r="I423" i="2"/>
  <c r="I422" i="2" s="1"/>
  <c r="I421" i="2" s="1"/>
  <c r="I420" i="2" s="1"/>
  <c r="G389" i="61"/>
  <c r="G388" i="61" s="1"/>
  <c r="G387" i="61" s="1"/>
  <c r="J423" i="2"/>
  <c r="J422" i="2" s="1"/>
  <c r="J421" i="2" s="1"/>
  <c r="J420" i="2" s="1"/>
  <c r="H423" i="2"/>
  <c r="H422" i="2" s="1"/>
  <c r="H421" i="2" s="1"/>
  <c r="H420" i="2" s="1"/>
  <c r="E298" i="3"/>
  <c r="F298" i="3"/>
  <c r="D298" i="3"/>
  <c r="E293" i="3"/>
  <c r="F293" i="3"/>
  <c r="D293" i="3"/>
  <c r="E291" i="3"/>
  <c r="F291" i="3"/>
  <c r="D291" i="3"/>
  <c r="E289" i="3"/>
  <c r="F289" i="3"/>
  <c r="D289" i="3"/>
  <c r="E287" i="3"/>
  <c r="F287" i="3"/>
  <c r="D287" i="3"/>
  <c r="E279" i="3"/>
  <c r="F279" i="3"/>
  <c r="D279" i="3"/>
  <c r="E277" i="3"/>
  <c r="F277" i="3"/>
  <c r="D277" i="3"/>
  <c r="E275" i="3"/>
  <c r="F275" i="3"/>
  <c r="D275" i="3"/>
  <c r="F591" i="61"/>
  <c r="H754" i="2"/>
  <c r="H753" i="2" s="1"/>
  <c r="H752" i="2" s="1"/>
  <c r="H518" i="61"/>
  <c r="H517" i="61" s="1"/>
  <c r="G518" i="61"/>
  <c r="G517" i="61" s="1"/>
  <c r="J596" i="2"/>
  <c r="I596" i="2"/>
  <c r="H596" i="2"/>
  <c r="E274" i="3" l="1"/>
  <c r="D274" i="3"/>
  <c r="F274" i="3"/>
  <c r="F286" i="3"/>
  <c r="E286" i="3"/>
  <c r="H232" i="2"/>
  <c r="H231" i="2" s="1"/>
  <c r="H223" i="2"/>
  <c r="H492" i="61"/>
  <c r="H491" i="61" s="1"/>
  <c r="D286" i="3"/>
  <c r="F492" i="61"/>
  <c r="F491" i="61" s="1"/>
  <c r="F518" i="61"/>
  <c r="G492" i="61"/>
  <c r="G491" i="61" s="1"/>
  <c r="H66" i="2"/>
  <c r="I232" i="2"/>
  <c r="I231" i="2" s="1"/>
  <c r="J232" i="2"/>
  <c r="J231" i="2" s="1"/>
  <c r="J622" i="2" l="1"/>
  <c r="J620" i="2" s="1"/>
  <c r="I622" i="2"/>
  <c r="I620" i="2" s="1"/>
  <c r="H622" i="2"/>
  <c r="H620" i="2" s="1"/>
  <c r="J592" i="2"/>
  <c r="I592" i="2"/>
  <c r="I591" i="2" s="1"/>
  <c r="I590" i="2" s="1"/>
  <c r="H592" i="2"/>
  <c r="J575" i="2"/>
  <c r="I575" i="2"/>
  <c r="H575" i="2"/>
  <c r="F123" i="3"/>
  <c r="E123" i="3"/>
  <c r="D123" i="3"/>
  <c r="H468" i="61"/>
  <c r="G468" i="61"/>
  <c r="F468" i="61"/>
  <c r="H466" i="61"/>
  <c r="G466" i="61"/>
  <c r="F466" i="61"/>
  <c r="J580" i="2"/>
  <c r="I580" i="2"/>
  <c r="H580" i="2"/>
  <c r="E268" i="3"/>
  <c r="F268" i="3"/>
  <c r="F267" i="3" s="1"/>
  <c r="D268" i="3"/>
  <c r="E270" i="3"/>
  <c r="F270" i="3"/>
  <c r="D270" i="3"/>
  <c r="H452" i="61" l="1"/>
  <c r="F452" i="61"/>
  <c r="F451" i="61" s="1"/>
  <c r="G452" i="61"/>
  <c r="G451" i="61" s="1"/>
  <c r="D267" i="3"/>
  <c r="E267" i="3"/>
  <c r="H451" i="61"/>
  <c r="J591" i="2"/>
  <c r="J590" i="2" s="1"/>
  <c r="H591" i="2"/>
  <c r="H590" i="2" s="1"/>
  <c r="H482" i="2"/>
  <c r="H481" i="2" s="1"/>
  <c r="I579" i="2"/>
  <c r="H495" i="2"/>
  <c r="I545" i="2"/>
  <c r="J545" i="2"/>
  <c r="I574" i="2"/>
  <c r="H545" i="2"/>
  <c r="J574" i="2"/>
  <c r="H574" i="2"/>
  <c r="H396" i="61"/>
  <c r="H395" i="61" s="1"/>
  <c r="G396" i="61"/>
  <c r="G395" i="61" s="1"/>
  <c r="I482" i="2"/>
  <c r="I481" i="2" s="1"/>
  <c r="I480" i="2" s="1"/>
  <c r="I479" i="2" s="1"/>
  <c r="J495" i="2"/>
  <c r="I494" i="2"/>
  <c r="J482" i="2"/>
  <c r="J481" i="2" s="1"/>
  <c r="J480" i="2" s="1"/>
  <c r="J479" i="2" s="1"/>
  <c r="H494" i="2" l="1"/>
  <c r="H493" i="2" s="1"/>
  <c r="J494" i="2"/>
  <c r="J493" i="2" s="1"/>
  <c r="I493" i="2"/>
  <c r="H579" i="2"/>
  <c r="J579" i="2"/>
  <c r="J544" i="2"/>
  <c r="J543" i="2" s="1"/>
  <c r="I544" i="2"/>
  <c r="I543" i="2" s="1"/>
  <c r="H544" i="2"/>
  <c r="H543" i="2" s="1"/>
  <c r="E210" i="3" l="1"/>
  <c r="F210" i="3"/>
  <c r="D210" i="3"/>
  <c r="E143" i="3" l="1"/>
  <c r="E142" i="3" s="1"/>
  <c r="F143" i="3"/>
  <c r="F142" i="3" s="1"/>
  <c r="D142" i="3"/>
  <c r="E130" i="3"/>
  <c r="F130" i="3"/>
  <c r="D130" i="3"/>
  <c r="E127" i="3"/>
  <c r="F127" i="3"/>
  <c r="D127" i="3"/>
  <c r="E125" i="3"/>
  <c r="F125" i="3"/>
  <c r="D125" i="3"/>
  <c r="E120" i="3"/>
  <c r="F120" i="3"/>
  <c r="D120" i="3"/>
  <c r="E118" i="3"/>
  <c r="F118" i="3"/>
  <c r="D118" i="3"/>
  <c r="E116" i="3"/>
  <c r="F116" i="3"/>
  <c r="D116" i="3"/>
  <c r="D122" i="3" l="1"/>
  <c r="F122" i="3"/>
  <c r="E129" i="3"/>
  <c r="E122" i="3"/>
  <c r="F115" i="3"/>
  <c r="E115" i="3"/>
  <c r="D115" i="3"/>
  <c r="D129" i="3"/>
  <c r="F129" i="3"/>
  <c r="D114" i="3" l="1"/>
  <c r="E114" i="3"/>
  <c r="F114" i="3"/>
  <c r="E105" i="3"/>
  <c r="F105" i="3"/>
  <c r="D105" i="3"/>
  <c r="E103" i="3"/>
  <c r="F103" i="3"/>
  <c r="D103" i="3"/>
  <c r="E72" i="3"/>
  <c r="F72" i="3"/>
  <c r="D72" i="3"/>
  <c r="E70" i="3"/>
  <c r="F70" i="3"/>
  <c r="D70" i="3"/>
  <c r="E65" i="3"/>
  <c r="F65" i="3"/>
  <c r="D65" i="3"/>
  <c r="D95" i="3" l="1"/>
  <c r="F95" i="3"/>
  <c r="F94" i="3" s="1"/>
  <c r="F64" i="3"/>
  <c r="E64" i="3"/>
  <c r="D94" i="3"/>
  <c r="E95" i="3"/>
  <c r="E94" i="3" s="1"/>
  <c r="D64" i="3"/>
  <c r="E62" i="3"/>
  <c r="F62" i="3"/>
  <c r="D62" i="3"/>
  <c r="E60" i="3"/>
  <c r="F60" i="3"/>
  <c r="D60" i="3"/>
  <c r="E58" i="3"/>
  <c r="F58" i="3"/>
  <c r="D58" i="3"/>
  <c r="F57" i="3" l="1"/>
  <c r="E57" i="3"/>
  <c r="D57" i="3"/>
  <c r="E44" i="3"/>
  <c r="F44" i="3"/>
  <c r="D44" i="3"/>
  <c r="E46" i="3"/>
  <c r="F46" i="3"/>
  <c r="D46" i="3"/>
  <c r="E42" i="3"/>
  <c r="F42" i="3"/>
  <c r="D42" i="3"/>
  <c r="F41" i="3" l="1"/>
  <c r="F40" i="3" s="1"/>
  <c r="E41" i="3"/>
  <c r="E40" i="3" s="1"/>
  <c r="D41" i="3"/>
  <c r="D40" i="3" s="1"/>
  <c r="E37" i="3"/>
  <c r="E36" i="3" s="1"/>
  <c r="F37" i="3"/>
  <c r="F36" i="3" s="1"/>
  <c r="D37" i="3"/>
  <c r="D36" i="3" s="1"/>
  <c r="F25" i="3" l="1"/>
  <c r="E25" i="3"/>
  <c r="F24" i="3" l="1"/>
  <c r="E24" i="3"/>
  <c r="H585" i="61"/>
  <c r="H584" i="61" s="1"/>
  <c r="G585" i="61"/>
  <c r="G584" i="61" s="1"/>
  <c r="F585" i="61"/>
  <c r="F584" i="61" s="1"/>
  <c r="H552" i="61" l="1"/>
  <c r="G552" i="61"/>
  <c r="F497" i="3" l="1"/>
  <c r="F496" i="3" s="1"/>
  <c r="E497" i="3"/>
  <c r="E496" i="3" s="1"/>
  <c r="D497" i="3"/>
  <c r="D496" i="3" s="1"/>
  <c r="H27" i="2" l="1"/>
  <c r="G406" i="61" l="1"/>
  <c r="H406" i="61"/>
  <c r="F396" i="61"/>
  <c r="F395" i="61" s="1"/>
  <c r="F407" i="61"/>
  <c r="F406" i="61" s="1"/>
  <c r="H166" i="2" l="1"/>
  <c r="H165" i="2" s="1"/>
  <c r="D494" i="3" l="1"/>
  <c r="D493" i="3" s="1"/>
  <c r="D492" i="3" s="1"/>
  <c r="F505" i="3"/>
  <c r="F503" i="3"/>
  <c r="F494" i="3"/>
  <c r="F493" i="3" s="1"/>
  <c r="F492" i="3" s="1"/>
  <c r="F483" i="3"/>
  <c r="F482" i="3" s="1"/>
  <c r="F480" i="3"/>
  <c r="F472" i="3"/>
  <c r="F471" i="3" s="1"/>
  <c r="D472" i="3"/>
  <c r="F470" i="3" l="1"/>
  <c r="F500" i="3"/>
  <c r="F499" i="3"/>
  <c r="F469" i="3" l="1"/>
  <c r="E396" i="3" l="1"/>
  <c r="F396" i="3"/>
  <c r="F418" i="3"/>
  <c r="E418" i="3"/>
  <c r="F395" i="3" l="1"/>
  <c r="E395" i="3"/>
  <c r="H148" i="2"/>
  <c r="H147" i="2" s="1"/>
  <c r="I148" i="2"/>
  <c r="I147" i="2" s="1"/>
  <c r="J148" i="2"/>
  <c r="J147" i="2" s="1"/>
  <c r="F150" i="61"/>
  <c r="F149" i="61" s="1"/>
  <c r="F433" i="3" l="1"/>
  <c r="F432" i="3" s="1"/>
  <c r="E433" i="3"/>
  <c r="E432" i="3" s="1"/>
  <c r="D433" i="3"/>
  <c r="D432" i="3" s="1"/>
  <c r="F252" i="3" l="1"/>
  <c r="F251" i="3" s="1"/>
  <c r="E252" i="3"/>
  <c r="E251" i="3" s="1"/>
  <c r="D252" i="3"/>
  <c r="D251" i="3" s="1"/>
  <c r="F228" i="3"/>
  <c r="F227" i="3" s="1"/>
  <c r="E228" i="3"/>
  <c r="E227" i="3" s="1"/>
  <c r="D228" i="3"/>
  <c r="D227" i="3" s="1"/>
  <c r="F244" i="61" l="1"/>
  <c r="G244" i="61" l="1"/>
  <c r="H244" i="61"/>
  <c r="H251" i="2"/>
  <c r="J251" i="2"/>
  <c r="E631" i="3" l="1"/>
  <c r="E623" i="3" s="1"/>
  <c r="D631" i="3"/>
  <c r="D623" i="3" s="1"/>
  <c r="E616" i="3"/>
  <c r="D616" i="3"/>
  <c r="E608" i="3"/>
  <c r="D608" i="3"/>
  <c r="E595" i="3"/>
  <c r="E592" i="3" s="1"/>
  <c r="D595" i="3"/>
  <c r="D592" i="3" s="1"/>
  <c r="E590" i="3"/>
  <c r="D590" i="3"/>
  <c r="E588" i="3"/>
  <c r="D588" i="3"/>
  <c r="E585" i="3"/>
  <c r="D585" i="3"/>
  <c r="D577" i="3"/>
  <c r="E559" i="3"/>
  <c r="E558" i="3" s="1"/>
  <c r="D559" i="3"/>
  <c r="D558" i="3" s="1"/>
  <c r="E533" i="3"/>
  <c r="E532" i="3" s="1"/>
  <c r="D533" i="3"/>
  <c r="D532" i="3" s="1"/>
  <c r="E530" i="3"/>
  <c r="E529" i="3" s="1"/>
  <c r="D530" i="3"/>
  <c r="D529" i="3" s="1"/>
  <c r="E526" i="3"/>
  <c r="E525" i="3" s="1"/>
  <c r="D526" i="3"/>
  <c r="D525" i="3" s="1"/>
  <c r="E523" i="3"/>
  <c r="E522" i="3" s="1"/>
  <c r="E505" i="3"/>
  <c r="D505" i="3"/>
  <c r="E503" i="3"/>
  <c r="D503" i="3"/>
  <c r="E494" i="3"/>
  <c r="E493" i="3" s="1"/>
  <c r="E492" i="3" s="1"/>
  <c r="E483" i="3"/>
  <c r="E482" i="3" s="1"/>
  <c r="D483" i="3"/>
  <c r="D482" i="3" s="1"/>
  <c r="E480" i="3"/>
  <c r="D480" i="3"/>
  <c r="D471" i="3" s="1"/>
  <c r="E472" i="3"/>
  <c r="E446" i="3"/>
  <c r="D446" i="3"/>
  <c r="E431" i="3"/>
  <c r="E430" i="3" s="1"/>
  <c r="D431" i="3"/>
  <c r="D430" i="3" s="1"/>
  <c r="D396" i="3"/>
  <c r="E353" i="3"/>
  <c r="E302" i="3"/>
  <c r="E301" i="3" s="1"/>
  <c r="D302" i="3"/>
  <c r="D301" i="3" s="1"/>
  <c r="E296" i="3"/>
  <c r="E295" i="3" s="1"/>
  <c r="E285" i="3" s="1"/>
  <c r="D296" i="3"/>
  <c r="D295" i="3" s="1"/>
  <c r="D285" i="3" s="1"/>
  <c r="E265" i="3"/>
  <c r="E264" i="3" s="1"/>
  <c r="E263" i="3" s="1"/>
  <c r="D265" i="3"/>
  <c r="D250" i="3"/>
  <c r="E250" i="3"/>
  <c r="E226" i="3"/>
  <c r="E220" i="3"/>
  <c r="D220" i="3"/>
  <c r="E213" i="3"/>
  <c r="E212" i="3" s="1"/>
  <c r="D213" i="3"/>
  <c r="D212" i="3" s="1"/>
  <c r="E208" i="3"/>
  <c r="D208" i="3"/>
  <c r="E206" i="3"/>
  <c r="D206" i="3"/>
  <c r="E204" i="3"/>
  <c r="D204" i="3"/>
  <c r="E188" i="3"/>
  <c r="E187" i="3" s="1"/>
  <c r="D188" i="3"/>
  <c r="D187" i="3" s="1"/>
  <c r="E172" i="3"/>
  <c r="E171" i="3" s="1"/>
  <c r="D172" i="3"/>
  <c r="D171" i="3" s="1"/>
  <c r="E164" i="3"/>
  <c r="D164" i="3"/>
  <c r="D470" i="3" l="1"/>
  <c r="E471" i="3"/>
  <c r="E470" i="3" s="1"/>
  <c r="E148" i="3"/>
  <c r="D148" i="3"/>
  <c r="D500" i="3"/>
  <c r="D499" i="3" s="1"/>
  <c r="E500" i="3"/>
  <c r="E499" i="3" s="1"/>
  <c r="E557" i="3"/>
  <c r="E556" i="3" s="1"/>
  <c r="E352" i="3"/>
  <c r="E351" i="3" s="1"/>
  <c r="E350" i="3" s="1"/>
  <c r="D352" i="3"/>
  <c r="D351" i="3" s="1"/>
  <c r="D350" i="3" s="1"/>
  <c r="D603" i="3"/>
  <c r="E445" i="3"/>
  <c r="E603" i="3"/>
  <c r="D203" i="3"/>
  <c r="D202" i="3" s="1"/>
  <c r="E203" i="3"/>
  <c r="E202" i="3" s="1"/>
  <c r="D445" i="3"/>
  <c r="E582" i="3"/>
  <c r="D582" i="3"/>
  <c r="E528" i="3"/>
  <c r="D528" i="3"/>
  <c r="E357" i="3"/>
  <c r="E516" i="3"/>
  <c r="E300" i="3"/>
  <c r="E262" i="3" s="1"/>
  <c r="D357" i="3"/>
  <c r="D300" i="3"/>
  <c r="D516" i="3"/>
  <c r="D26" i="3"/>
  <c r="D25" i="3" s="1"/>
  <c r="D24" i="3" s="1"/>
  <c r="D264" i="3"/>
  <c r="D263" i="3" s="1"/>
  <c r="E225" i="3"/>
  <c r="D226" i="3"/>
  <c r="D225" i="3" s="1"/>
  <c r="D418" i="3"/>
  <c r="D395" i="3" s="1"/>
  <c r="I760" i="2"/>
  <c r="I759" i="2" s="1"/>
  <c r="I758" i="2" s="1"/>
  <c r="H760" i="2"/>
  <c r="H759" i="2" s="1"/>
  <c r="H758" i="2" s="1"/>
  <c r="H751" i="2" s="1"/>
  <c r="H750" i="2" s="1"/>
  <c r="I754" i="2"/>
  <c r="I753" i="2" s="1"/>
  <c r="I752" i="2" s="1"/>
  <c r="H739" i="2"/>
  <c r="H738" i="2" s="1"/>
  <c r="H737" i="2" s="1"/>
  <c r="I726" i="2"/>
  <c r="H726" i="2"/>
  <c r="H461" i="2"/>
  <c r="I447" i="2"/>
  <c r="I446" i="2" s="1"/>
  <c r="I445" i="2" s="1"/>
  <c r="I428" i="2" s="1"/>
  <c r="H437" i="2"/>
  <c r="I294" i="2"/>
  <c r="H183" i="2"/>
  <c r="H182" i="2" s="1"/>
  <c r="H164" i="2"/>
  <c r="H163" i="2" s="1"/>
  <c r="H154" i="2" s="1"/>
  <c r="I146" i="2"/>
  <c r="H146" i="2"/>
  <c r="H145" i="2" s="1"/>
  <c r="H140" i="2"/>
  <c r="H112" i="2"/>
  <c r="H111" i="2" s="1"/>
  <c r="I96" i="2"/>
  <c r="H96" i="2"/>
  <c r="H92" i="2"/>
  <c r="H91" i="2" s="1"/>
  <c r="I62" i="2"/>
  <c r="I61" i="2" s="1"/>
  <c r="I60" i="2" s="1"/>
  <c r="I59" i="2" s="1"/>
  <c r="H61" i="2"/>
  <c r="H60" i="2" s="1"/>
  <c r="H59" i="2" s="1"/>
  <c r="I54" i="2"/>
  <c r="I50" i="2" s="1"/>
  <c r="I49" i="2" s="1"/>
  <c r="H54" i="2"/>
  <c r="H51" i="2"/>
  <c r="H46" i="2"/>
  <c r="I39" i="2"/>
  <c r="H39" i="2"/>
  <c r="I36" i="2" l="1"/>
  <c r="I35" i="2" s="1"/>
  <c r="I34" i="2" s="1"/>
  <c r="I33" i="2" s="1"/>
  <c r="H36" i="2"/>
  <c r="H35" i="2" s="1"/>
  <c r="H34" i="2" s="1"/>
  <c r="H33" i="2" s="1"/>
  <c r="E147" i="3"/>
  <c r="H50" i="2"/>
  <c r="H49" i="2" s="1"/>
  <c r="I145" i="2"/>
  <c r="I109" i="2" s="1"/>
  <c r="I632" i="2"/>
  <c r="D557" i="3"/>
  <c r="D556" i="3" s="1"/>
  <c r="D262" i="3"/>
  <c r="D147" i="3"/>
  <c r="H95" i="2"/>
  <c r="I95" i="2"/>
  <c r="E469" i="3"/>
  <c r="E515" i="3"/>
  <c r="D515" i="3"/>
  <c r="D576" i="3"/>
  <c r="E576" i="3"/>
  <c r="D387" i="3"/>
  <c r="D386" i="3"/>
  <c r="E386" i="3"/>
  <c r="D469" i="3"/>
  <c r="D319" i="3"/>
  <c r="E319" i="3"/>
  <c r="I725" i="2"/>
  <c r="I724" i="2" s="1"/>
  <c r="H573" i="2"/>
  <c r="H572" i="2" s="1"/>
  <c r="H100" i="2"/>
  <c r="H110" i="2"/>
  <c r="I100" i="2"/>
  <c r="I573" i="2"/>
  <c r="I572" i="2" s="1"/>
  <c r="H725" i="2"/>
  <c r="H724" i="2" s="1"/>
  <c r="H294" i="2"/>
  <c r="H293" i="2" s="1"/>
  <c r="H436" i="2"/>
  <c r="H435" i="2" s="1"/>
  <c r="I751" i="2"/>
  <c r="I750" i="2" s="1"/>
  <c r="H480" i="2"/>
  <c r="H479" i="2" s="1"/>
  <c r="H431" i="2"/>
  <c r="H430" i="2" s="1"/>
  <c r="H429" i="2" s="1"/>
  <c r="H222" i="2"/>
  <c r="H641" i="2"/>
  <c r="H640" i="2" s="1"/>
  <c r="I222" i="2"/>
  <c r="I153" i="2" s="1"/>
  <c r="H460" i="2"/>
  <c r="H459" i="2" s="1"/>
  <c r="H45" i="2"/>
  <c r="H44" i="2" s="1"/>
  <c r="H169" i="2"/>
  <c r="H168" i="2" s="1"/>
  <c r="H689" i="2"/>
  <c r="H688" i="2" s="1"/>
  <c r="H635" i="2"/>
  <c r="H634" i="2" s="1"/>
  <c r="H65" i="2"/>
  <c r="H26" i="2"/>
  <c r="H25" i="2" s="1"/>
  <c r="H24" i="2" s="1"/>
  <c r="H23" i="2" s="1"/>
  <c r="H447" i="2"/>
  <c r="H446" i="2" s="1"/>
  <c r="H445" i="2" s="1"/>
  <c r="F633" i="61"/>
  <c r="F632" i="61" s="1"/>
  <c r="F631" i="61" s="1"/>
  <c r="G608" i="61"/>
  <c r="F608" i="61"/>
  <c r="F607" i="61" s="1"/>
  <c r="G604" i="61"/>
  <c r="G603" i="61" s="1"/>
  <c r="F604" i="61"/>
  <c r="F603" i="61" s="1"/>
  <c r="G599" i="61"/>
  <c r="G598" i="61" s="1"/>
  <c r="G597" i="61" s="1"/>
  <c r="F599" i="61"/>
  <c r="F598" i="61" s="1"/>
  <c r="F597" i="61" s="1"/>
  <c r="G488" i="61"/>
  <c r="G487" i="61" s="1"/>
  <c r="G486" i="61" s="1"/>
  <c r="F488" i="61"/>
  <c r="F487" i="61" s="1"/>
  <c r="F486" i="61" s="1"/>
  <c r="G473" i="61"/>
  <c r="G450" i="61" s="1"/>
  <c r="F473" i="61"/>
  <c r="F450" i="61" s="1"/>
  <c r="G366" i="61"/>
  <c r="G320" i="61" s="1"/>
  <c r="F366" i="61"/>
  <c r="F320" i="61" s="1"/>
  <c r="G280" i="61"/>
  <c r="G279" i="61" s="1"/>
  <c r="F280" i="61"/>
  <c r="F279" i="61" s="1"/>
  <c r="G205" i="61"/>
  <c r="F205" i="61"/>
  <c r="G150" i="61"/>
  <c r="G149" i="61" s="1"/>
  <c r="G145" i="61"/>
  <c r="F145" i="61"/>
  <c r="G115" i="61"/>
  <c r="G114" i="61" s="1"/>
  <c r="F115" i="61"/>
  <c r="F114" i="61" s="1"/>
  <c r="G103" i="61"/>
  <c r="F103" i="61"/>
  <c r="G99" i="61"/>
  <c r="G98" i="61" s="1"/>
  <c r="F99" i="61"/>
  <c r="F98" i="61" s="1"/>
  <c r="G95" i="61"/>
  <c r="G94" i="61" s="1"/>
  <c r="F95" i="61"/>
  <c r="F94" i="61" s="1"/>
  <c r="G67" i="61"/>
  <c r="G66" i="61" s="1"/>
  <c r="G65" i="61" s="1"/>
  <c r="G64" i="61" s="1"/>
  <c r="F67" i="61"/>
  <c r="F66" i="61" s="1"/>
  <c r="F65" i="61" s="1"/>
  <c r="F64" i="61" s="1"/>
  <c r="G61" i="61"/>
  <c r="G58" i="61" s="1"/>
  <c r="F61" i="61"/>
  <c r="F58" i="61" s="1"/>
  <c r="G54" i="61"/>
  <c r="F54" i="61"/>
  <c r="G50" i="61"/>
  <c r="G49" i="61" s="1"/>
  <c r="G48" i="61" s="1"/>
  <c r="G47" i="61" s="1"/>
  <c r="F49" i="61"/>
  <c r="F48" i="61" s="1"/>
  <c r="F47" i="61" s="1"/>
  <c r="G42" i="61"/>
  <c r="F42" i="61"/>
  <c r="G39" i="61"/>
  <c r="F39" i="61"/>
  <c r="F31" i="61"/>
  <c r="F30" i="61" s="1"/>
  <c r="G28" i="61"/>
  <c r="G27" i="61" s="1"/>
  <c r="G26" i="61" s="1"/>
  <c r="G25" i="61" s="1"/>
  <c r="F28" i="61"/>
  <c r="F27" i="61" s="1"/>
  <c r="F26" i="61" s="1"/>
  <c r="F25" i="61" s="1"/>
  <c r="F602" i="61" l="1"/>
  <c r="E23" i="3"/>
  <c r="E22" i="3" s="1"/>
  <c r="H90" i="2"/>
  <c r="I687" i="2"/>
  <c r="I631" i="2" s="1"/>
  <c r="I627" i="2" s="1"/>
  <c r="I626" i="2" s="1"/>
  <c r="I625" i="2" s="1"/>
  <c r="I624" i="2" s="1"/>
  <c r="I619" i="2" s="1"/>
  <c r="I618" i="2" s="1"/>
  <c r="I617" i="2" s="1"/>
  <c r="I90" i="2"/>
  <c r="I64" i="2" s="1"/>
  <c r="I43" i="2" s="1"/>
  <c r="F93" i="61"/>
  <c r="G93" i="61"/>
  <c r="H633" i="2"/>
  <c r="H632" i="2" s="1"/>
  <c r="D23" i="3"/>
  <c r="D22" i="3" s="1"/>
  <c r="G394" i="61"/>
  <c r="H153" i="2"/>
  <c r="H639" i="2"/>
  <c r="I293" i="2"/>
  <c r="I260" i="2" s="1"/>
  <c r="H687" i="2"/>
  <c r="H262" i="2"/>
  <c r="H261" i="2" s="1"/>
  <c r="H578" i="2"/>
  <c r="G607" i="61"/>
  <c r="G602" i="61" s="1"/>
  <c r="I578" i="2"/>
  <c r="G220" i="61"/>
  <c r="F220" i="61"/>
  <c r="F255" i="61"/>
  <c r="G255" i="61"/>
  <c r="G274" i="61"/>
  <c r="F144" i="61"/>
  <c r="G144" i="61"/>
  <c r="G170" i="61"/>
  <c r="G169" i="61" s="1"/>
  <c r="G165" i="61" s="1"/>
  <c r="G164" i="61" s="1"/>
  <c r="G156" i="61" s="1"/>
  <c r="F274" i="61"/>
  <c r="F226" i="61"/>
  <c r="G226" i="61"/>
  <c r="G70" i="61"/>
  <c r="F645" i="61"/>
  <c r="F644" i="61" s="1"/>
  <c r="F643" i="61" s="1"/>
  <c r="G645" i="61"/>
  <c r="G644" i="61" s="1"/>
  <c r="G643" i="61" s="1"/>
  <c r="F621" i="61"/>
  <c r="G621" i="61"/>
  <c r="G632" i="61"/>
  <c r="G631" i="61" s="1"/>
  <c r="F553" i="61"/>
  <c r="F552" i="61" s="1"/>
  <c r="H115" i="2"/>
  <c r="H109" i="2" s="1"/>
  <c r="F170" i="61"/>
  <c r="F169" i="61" s="1"/>
  <c r="F165" i="61" s="1"/>
  <c r="F164" i="61" s="1"/>
  <c r="F156" i="61" s="1"/>
  <c r="G183" i="61"/>
  <c r="G182" i="61" s="1"/>
  <c r="F183" i="61"/>
  <c r="F182" i="61" s="1"/>
  <c r="F113" i="61"/>
  <c r="G113" i="61"/>
  <c r="F53" i="61"/>
  <c r="F52" i="61" s="1"/>
  <c r="G38" i="61"/>
  <c r="G37" i="61" s="1"/>
  <c r="G53" i="61"/>
  <c r="G52" i="61" s="1"/>
  <c r="H428" i="2"/>
  <c r="G31" i="61"/>
  <c r="G30" i="61" s="1"/>
  <c r="F517" i="61"/>
  <c r="F394" i="61" s="1"/>
  <c r="F70" i="61"/>
  <c r="F38" i="61"/>
  <c r="F37" i="61" s="1"/>
  <c r="G618" i="61" l="1"/>
  <c r="G617" i="61" s="1"/>
  <c r="G616" i="61" s="1"/>
  <c r="G615" i="61" s="1"/>
  <c r="G596" i="61" s="1"/>
  <c r="F618" i="61"/>
  <c r="F617" i="61" s="1"/>
  <c r="F616" i="61" s="1"/>
  <c r="F615" i="61" s="1"/>
  <c r="F596" i="61" s="1"/>
  <c r="I492" i="2"/>
  <c r="I478" i="2" s="1"/>
  <c r="I477" i="2" s="1"/>
  <c r="H631" i="2"/>
  <c r="H627" i="2" s="1"/>
  <c r="H626" i="2" s="1"/>
  <c r="H625" i="2" s="1"/>
  <c r="H624" i="2" s="1"/>
  <c r="H619" i="2" s="1"/>
  <c r="H618" i="2" s="1"/>
  <c r="H617" i="2" s="1"/>
  <c r="I42" i="2"/>
  <c r="F551" i="61"/>
  <c r="G69" i="61"/>
  <c r="G24" i="61" s="1"/>
  <c r="F69" i="61"/>
  <c r="F24" i="61" s="1"/>
  <c r="H64" i="2"/>
  <c r="H43" i="2" s="1"/>
  <c r="H260" i="2"/>
  <c r="F254" i="61"/>
  <c r="F253" i="61" s="1"/>
  <c r="F252" i="61" s="1"/>
  <c r="F219" i="61"/>
  <c r="G219" i="61"/>
  <c r="G254" i="61"/>
  <c r="G253" i="61" s="1"/>
  <c r="G252" i="61" s="1"/>
  <c r="G118" i="61"/>
  <c r="G112" i="61" s="1"/>
  <c r="G551" i="61"/>
  <c r="F118" i="61"/>
  <c r="F112" i="61" s="1"/>
  <c r="H492" i="2" l="1"/>
  <c r="H478" i="2" s="1"/>
  <c r="H477" i="2" s="1"/>
  <c r="F155" i="61"/>
  <c r="F23" i="61" s="1"/>
  <c r="I22" i="2"/>
  <c r="G155" i="61"/>
  <c r="G23" i="61" s="1"/>
  <c r="H42" i="2"/>
  <c r="H22" i="2" l="1"/>
  <c r="F172" i="3" l="1"/>
  <c r="F171" i="3" s="1"/>
  <c r="F523" i="3" l="1"/>
  <c r="F522" i="3" s="1"/>
  <c r="F559" i="3" l="1"/>
  <c r="F558" i="3" s="1"/>
  <c r="J146" i="2"/>
  <c r="J145" i="2" s="1"/>
  <c r="J109" i="2" s="1"/>
  <c r="F557" i="3" l="1"/>
  <c r="F556" i="3" s="1"/>
  <c r="H149" i="61"/>
  <c r="F386" i="3" l="1"/>
  <c r="H31" i="61" l="1"/>
  <c r="H61" i="61" l="1"/>
  <c r="H58" i="61" s="1"/>
  <c r="F608" i="3" l="1"/>
  <c r="F296" i="3" l="1"/>
  <c r="F295" i="3" s="1"/>
  <c r="F285" i="3" s="1"/>
  <c r="F265" i="3"/>
  <c r="F264" i="3" s="1"/>
  <c r="F263" i="3" s="1"/>
  <c r="H226" i="61" l="1"/>
  <c r="F590" i="3" l="1"/>
  <c r="F353" i="3" l="1"/>
  <c r="F352" i="3" s="1"/>
  <c r="F351" i="3" l="1"/>
  <c r="H54" i="61" l="1"/>
  <c r="H53" i="61" s="1"/>
  <c r="F631" i="3"/>
  <c r="F623" i="3" s="1"/>
  <c r="F220" i="3"/>
  <c r="F164" i="3"/>
  <c r="H473" i="61" l="1"/>
  <c r="H450" i="61" s="1"/>
  <c r="H632" i="61"/>
  <c r="H551" i="61" l="1"/>
  <c r="H30" i="61" l="1"/>
  <c r="J754" i="2" l="1"/>
  <c r="J753" i="2" s="1"/>
  <c r="J752" i="2" s="1"/>
  <c r="F526" i="3"/>
  <c r="F525" i="3" s="1"/>
  <c r="F302" i="3" l="1"/>
  <c r="F301" i="3" s="1"/>
  <c r="J635" i="2" l="1"/>
  <c r="J634" i="2" s="1"/>
  <c r="J633" i="2" s="1"/>
  <c r="F431" i="3"/>
  <c r="F430" i="3" s="1"/>
  <c r="J632" i="2" l="1"/>
  <c r="F616" i="3" l="1"/>
  <c r="F595" i="3"/>
  <c r="F592" i="3" s="1"/>
  <c r="F588" i="3"/>
  <c r="F585" i="3"/>
  <c r="F533" i="3"/>
  <c r="F532" i="3" s="1"/>
  <c r="F530" i="3"/>
  <c r="F529" i="3" s="1"/>
  <c r="F516" i="3"/>
  <c r="F357" i="3"/>
  <c r="F213" i="3"/>
  <c r="F212" i="3" s="1"/>
  <c r="F208" i="3"/>
  <c r="F206" i="3"/>
  <c r="F204" i="3"/>
  <c r="F188" i="3"/>
  <c r="J760" i="2"/>
  <c r="J759" i="2" s="1"/>
  <c r="J758" i="2" s="1"/>
  <c r="J751" i="2" s="1"/>
  <c r="J750" i="2" s="1"/>
  <c r="J627" i="2"/>
  <c r="J626" i="2" s="1"/>
  <c r="J625" i="2" s="1"/>
  <c r="J624" i="2" s="1"/>
  <c r="J619" i="2" s="1"/>
  <c r="J618" i="2" s="1"/>
  <c r="J100" i="2"/>
  <c r="J96" i="2"/>
  <c r="J62" i="2"/>
  <c r="J61" i="2" s="1"/>
  <c r="J60" i="2" s="1"/>
  <c r="J59" i="2" s="1"/>
  <c r="J54" i="2"/>
  <c r="J50" i="2" s="1"/>
  <c r="J49" i="2" s="1"/>
  <c r="J39" i="2"/>
  <c r="H617" i="61"/>
  <c r="H616" i="61" s="1"/>
  <c r="H608" i="61"/>
  <c r="H604" i="61"/>
  <c r="H603" i="61" s="1"/>
  <c r="H599" i="61"/>
  <c r="H598" i="61" s="1"/>
  <c r="H597" i="61" s="1"/>
  <c r="H488" i="61"/>
  <c r="H487" i="61" s="1"/>
  <c r="H280" i="61"/>
  <c r="H279" i="61" s="1"/>
  <c r="H274" i="61"/>
  <c r="H205" i="61"/>
  <c r="H115" i="61"/>
  <c r="H114" i="61" s="1"/>
  <c r="H103" i="61"/>
  <c r="H99" i="61"/>
  <c r="H98" i="61" s="1"/>
  <c r="H95" i="61"/>
  <c r="H94" i="61" s="1"/>
  <c r="H67" i="61"/>
  <c r="H66" i="61" s="1"/>
  <c r="H65" i="61" s="1"/>
  <c r="H64" i="61" s="1"/>
  <c r="H52" i="61"/>
  <c r="H50" i="61"/>
  <c r="H49" i="61" s="1"/>
  <c r="H48" i="61" s="1"/>
  <c r="H47" i="61" s="1"/>
  <c r="H39" i="61"/>
  <c r="H28" i="61"/>
  <c r="H27" i="61" s="1"/>
  <c r="H26" i="61" s="1"/>
  <c r="H25" i="61" s="1"/>
  <c r="F187" i="3" l="1"/>
  <c r="F148" i="3" s="1"/>
  <c r="J36" i="2"/>
  <c r="J35" i="2" s="1"/>
  <c r="J34" i="2" s="1"/>
  <c r="J33" i="2" s="1"/>
  <c r="H93" i="61"/>
  <c r="H486" i="61"/>
  <c r="H394" i="61" s="1"/>
  <c r="J95" i="2"/>
  <c r="F203" i="3"/>
  <c r="F202" i="3" s="1"/>
  <c r="F582" i="3"/>
  <c r="F528" i="3"/>
  <c r="F515" i="3" s="1"/>
  <c r="H220" i="61"/>
  <c r="H219" i="61" s="1"/>
  <c r="H183" i="61"/>
  <c r="H182" i="61" s="1"/>
  <c r="F300" i="3"/>
  <c r="F262" i="3" s="1"/>
  <c r="J578" i="2"/>
  <c r="H607" i="61"/>
  <c r="H602" i="61" s="1"/>
  <c r="H42" i="61"/>
  <c r="H38" i="61" s="1"/>
  <c r="H37" i="61" s="1"/>
  <c r="H645" i="61"/>
  <c r="H644" i="61" s="1"/>
  <c r="H643" i="61" s="1"/>
  <c r="H70" i="61"/>
  <c r="H145" i="61"/>
  <c r="F250" i="3"/>
  <c r="H366" i="61"/>
  <c r="H320" i="61" s="1"/>
  <c r="F226" i="3"/>
  <c r="J573" i="2"/>
  <c r="J572" i="2" s="1"/>
  <c r="J222" i="2"/>
  <c r="J153" i="2" s="1"/>
  <c r="H621" i="61"/>
  <c r="H615" i="61" s="1"/>
  <c r="F603" i="3"/>
  <c r="F350" i="3"/>
  <c r="H170" i="61"/>
  <c r="H169" i="61" s="1"/>
  <c r="H165" i="61" s="1"/>
  <c r="H164" i="61" s="1"/>
  <c r="H156" i="61" s="1"/>
  <c r="J294" i="2"/>
  <c r="J293" i="2" s="1"/>
  <c r="J260" i="2" s="1"/>
  <c r="J447" i="2"/>
  <c r="J446" i="2" s="1"/>
  <c r="J445" i="2" s="1"/>
  <c r="J428" i="2" s="1"/>
  <c r="J726" i="2"/>
  <c r="H255" i="61"/>
  <c r="H113" i="61"/>
  <c r="J617" i="2"/>
  <c r="F446" i="3"/>
  <c r="F147" i="3" l="1"/>
  <c r="J492" i="2"/>
  <c r="J478" i="2" s="1"/>
  <c r="J477" i="2" s="1"/>
  <c r="J90" i="2"/>
  <c r="J64" i="2" s="1"/>
  <c r="J43" i="2" s="1"/>
  <c r="H69" i="61"/>
  <c r="H24" i="61" s="1"/>
  <c r="H596" i="61"/>
  <c r="F445" i="3"/>
  <c r="H155" i="61"/>
  <c r="H118" i="61"/>
  <c r="F576" i="3"/>
  <c r="H144" i="61"/>
  <c r="F225" i="3"/>
  <c r="J725" i="2"/>
  <c r="J724" i="2" s="1"/>
  <c r="H631" i="61"/>
  <c r="F319" i="3"/>
  <c r="H254" i="61"/>
  <c r="H253" i="61" s="1"/>
  <c r="H252" i="61" s="1"/>
  <c r="F23" i="3" l="1"/>
  <c r="F22" i="3" s="1"/>
  <c r="J687" i="2"/>
  <c r="J631" i="2" s="1"/>
  <c r="H112" i="61"/>
  <c r="H23" i="61" s="1"/>
  <c r="J42" i="2"/>
  <c r="G62" i="1"/>
  <c r="F62" i="1"/>
  <c r="E62" i="1"/>
  <c r="G60" i="1"/>
  <c r="F60" i="1"/>
  <c r="E60" i="1"/>
  <c r="G56" i="1"/>
  <c r="F56" i="1"/>
  <c r="E56" i="1"/>
  <c r="E53" i="1"/>
  <c r="G53" i="1"/>
  <c r="F53" i="1"/>
  <c r="G46" i="1"/>
  <c r="F46" i="1"/>
  <c r="E46" i="1"/>
  <c r="G36" i="1"/>
  <c r="F36" i="1"/>
  <c r="E36" i="1"/>
  <c r="E32" i="1"/>
  <c r="G24" i="1"/>
  <c r="F24" i="1"/>
  <c r="E24" i="1"/>
  <c r="G23" i="1" l="1"/>
  <c r="F23" i="1"/>
  <c r="E23" i="1"/>
  <c r="J22" i="2"/>
</calcChain>
</file>

<file path=xl/sharedStrings.xml><?xml version="1.0" encoding="utf-8"?>
<sst xmlns="http://schemas.openxmlformats.org/spreadsheetml/2006/main" count="6992" uniqueCount="782">
  <si>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</si>
  <si>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</si>
  <si>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</si>
  <si>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</si>
  <si>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</si>
  <si>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</si>
  <si>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</si>
  <si>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</si>
  <si>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</si>
  <si>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</si>
  <si>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</si>
  <si>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</si>
  <si>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</si>
  <si>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</si>
  <si>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</si>
  <si>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</si>
  <si>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</si>
  <si>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</si>
  <si>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</si>
  <si>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</si>
  <si>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</si>
  <si>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</si>
  <si>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</si>
  <si>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</si>
  <si>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</si>
  <si>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</si>
  <si>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</si>
  <si>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</si>
  <si>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</si>
  <si>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</si>
  <si>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</si>
  <si>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</si>
  <si>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</si>
  <si>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</si>
  <si>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</si>
  <si>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</si>
  <si>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</si>
  <si>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</si>
  <si>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</si>
  <si>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</si>
  <si>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</si>
  <si>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</si>
  <si>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</si>
  <si>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</si>
  <si>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</si>
  <si>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</si>
  <si>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</si>
  <si>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</si>
  <si>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</si>
  <si>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</si>
  <si>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</si>
  <si>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</si>
  <si>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</si>
  <si>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</si>
  <si>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</si>
  <si>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</si>
  <si>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</si>
  <si>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</si>
  <si>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</si>
  <si>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</si>
  <si>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</si>
  <si>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</si>
  <si>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</si>
  <si>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</si>
  <si>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</si>
  <si>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</si>
  <si>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</si>
  <si>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</si>
  <si>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</si>
  <si>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</si>
  <si>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</si>
  <si>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</si>
  <si>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</si>
  <si>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</si>
  <si>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</si>
  <si>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</si>
  <si>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</si>
  <si>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</si>
  <si>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</si>
  <si>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</si>
  <si>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</si>
  <si>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</si>
  <si>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</si>
  <si>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</si>
  <si>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</si>
  <si>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</si>
  <si>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</si>
  <si>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</si>
  <si>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</si>
  <si>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</si>
  <si>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</si>
  <si>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</si>
  <si>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</si>
  <si>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</si>
  <si>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</si>
  <si>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</si>
  <si>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</si>
  <si>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</si>
  <si>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</si>
  <si>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</si>
  <si>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</si>
  <si>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</si>
  <si>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</si>
  <si>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</si>
  <si>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</si>
  <si>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</si>
  <si>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</si>
  <si>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</si>
  <si>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</si>
  <si>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</si>
  <si>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</si>
  <si>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</si>
  <si>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</si>
  <si>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</si>
  <si>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</si>
  <si>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</si>
  <si>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</si>
  <si>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</si>
  <si>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</si>
  <si>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</si>
  <si>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</si>
  <si>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</si>
  <si>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</si>
  <si>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</si>
  <si>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</si>
  <si>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</si>
  <si>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</si>
  <si>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</si>
  <si>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</si>
  <si>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</si>
  <si>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</si>
  <si>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</si>
  <si>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</si>
  <si>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</si>
  <si>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</si>
  <si>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</si>
  <si>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</si>
  <si>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</si>
  <si>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</si>
  <si>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</si>
  <si>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</si>
  <si>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</si>
  <si>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</si>
  <si>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</si>
  <si>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</si>
  <si>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</si>
  <si>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</si>
  <si>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</si>
  <si>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</si>
  <si>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</si>
  <si>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</si>
  <si>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</si>
  <si>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</si>
  <si>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</si>
  <si>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</si>
  <si>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</si>
  <si>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</si>
  <si>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</si>
  <si>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</si>
  <si>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</si>
  <si>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</si>
  <si>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</si>
  <si>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</si>
  <si>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</si>
  <si>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</si>
  <si>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</si>
  <si>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</si>
  <si>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</si>
  <si>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</si>
  <si>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</si>
  <si>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</si>
  <si>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</si>
  <si>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</si>
  <si>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</si>
  <si>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</si>
  <si>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</si>
  <si>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</si>
  <si>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</si>
  <si>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</si>
  <si>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</si>
  <si>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</si>
  <si>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</si>
  <si>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</si>
  <si>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</si>
  <si>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</si>
  <si>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</si>
  <si>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</si>
  <si>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</si>
  <si>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</si>
  <si>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</si>
  <si>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</si>
  <si>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</si>
  <si>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</si>
  <si>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</si>
  <si>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</si>
  <si>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</si>
  <si>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</si>
  <si>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</si>
  <si>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</si>
  <si>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</si>
  <si>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</si>
  <si>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</si>
  <si>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</si>
  <si>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</si>
  <si>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</si>
  <si>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</si>
  <si>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</si>
  <si>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</si>
  <si>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</si>
  <si>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</si>
  <si>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</si>
  <si>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</si>
  <si>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</si>
  <si>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</si>
  <si>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</si>
  <si>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</si>
  <si>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</si>
  <si>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</si>
  <si>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</si>
  <si>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</si>
  <si>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</si>
  <si>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</si>
  <si>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</si>
  <si>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</si>
  <si>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</si>
  <si>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</si>
  <si>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</si>
  <si>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</si>
  <si>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</si>
  <si>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</si>
  <si>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</si>
  <si>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</si>
  <si>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</si>
  <si>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</si>
  <si>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</si>
  <si>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</si>
  <si>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</si>
  <si>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</si>
  <si>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</si>
  <si>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</si>
  <si>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</si>
  <si>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</si>
  <si>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</si>
  <si>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</si>
  <si>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</si>
  <si>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</si>
  <si>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</si>
  <si>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</si>
  <si>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</si>
  <si>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</si>
  <si>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</si>
  <si>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</si>
  <si>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</si>
  <si>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</si>
  <si>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</si>
  <si>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</si>
  <si>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</si>
  <si>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</si>
  <si>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</si>
  <si>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</si>
  <si>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</si>
  <si>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</si>
  <si>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</si>
  <si>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</si>
  <si>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</si>
  <si>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</si>
  <si>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</si>
  <si>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</si>
  <si>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</si>
  <si>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</si>
  <si>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</si>
  <si>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</si>
  <si>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</si>
  <si>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</si>
  <si>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</si>
  <si>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</si>
  <si>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</si>
  <si>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</si>
  <si>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</si>
  <si>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</si>
  <si>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</si>
  <si>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</si>
  <si>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</si>
  <si>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</si>
  <si>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</si>
  <si>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</si>
  <si>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</si>
  <si>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</si>
  <si>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</si>
  <si>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</si>
  <si>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</si>
  <si>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</si>
  <si>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</si>
  <si>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</si>
  <si>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</si>
  <si>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</si>
  <si>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</si>
  <si>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</si>
  <si>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</si>
  <si>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</si>
  <si>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</si>
  <si>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</si>
  <si>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</si>
  <si>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</si>
  <si>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</si>
  <si>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</si>
  <si>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</si>
  <si>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</si>
  <si>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</si>
  <si>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</si>
  <si>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</si>
  <si>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</si>
  <si>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Задача "Проведение работы по профилактике распространения наркомании, алкоголизма и связанных с ними правонарушений</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</si>
  <si>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</si>
  <si>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</si>
  <si>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</si>
  <si>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</si>
  <si>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</si>
  <si>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</si>
  <si>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</si>
  <si>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</si>
  <si>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</si>
  <si>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</si>
  <si>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</si>
  <si>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</si>
  <si>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</si>
  <si>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</si>
  <si>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</si>
  <si>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</si>
  <si>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</si>
  <si>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</si>
  <si>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</si>
  <si>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</si>
  <si>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</si>
  <si>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</si>
  <si>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</si>
  <si>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</si>
  <si>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</si>
  <si>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</si>
  <si>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</si>
  <si>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</si>
  <si>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</si>
  <si>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</si>
  <si>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</si>
  <si>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</si>
  <si>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</si>
  <si>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</si>
  <si>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</si>
  <si>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</si>
  <si>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</si>
  <si>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</si>
  <si>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</si>
  <si>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</si>
  <si>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</si>
  <si>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</si>
  <si>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</si>
  <si>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</si>
  <si>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</si>
  <si>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</si>
  <si>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</si>
  <si>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</si>
  <si>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</si>
  <si>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</si>
  <si>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</si>
  <si>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</si>
  <si>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</si>
  <si>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</si>
  <si>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</si>
  <si>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0720000000</t>
  </si>
  <si>
    <t>Строительство объектов водоснабжения и водоотведения</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</si>
  <si>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</si>
  <si>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</si>
  <si>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</si>
  <si>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</si>
  <si>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</si>
  <si>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</si>
  <si>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</si>
  <si>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</si>
  <si>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</si>
  <si>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</si>
  <si>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</si>
  <si>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</si>
  <si>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</si>
  <si>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</si>
  <si>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</si>
  <si>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</si>
  <si>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</si>
  <si>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</si>
  <si>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</si>
  <si>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</si>
  <si>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</si>
  <si>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</si>
  <si>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</si>
  <si>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</si>
  <si>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</si>
  <si>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</si>
  <si>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</si>
  <si>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</si>
  <si>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</si>
  <si>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</si>
  <si>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</si>
  <si>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</si>
  <si>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</si>
  <si>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</si>
  <si>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</si>
  <si>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</si>
  <si>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</si>
  <si>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</si>
  <si>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</si>
  <si>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</si>
  <si>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</si>
  <si>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</si>
  <si>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</si>
  <si>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</si>
  <si>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</si>
  <si>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</si>
  <si>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</si>
  <si>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</si>
  <si>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</si>
  <si>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</si>
  <si>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</si>
  <si>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</si>
  <si>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</si>
  <si>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</si>
  <si>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</si>
  <si>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</si>
  <si>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</si>
  <si>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</si>
  <si>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</si>
  <si>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</si>
  <si>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</si>
  <si>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</si>
  <si>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</si>
  <si>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</si>
  <si>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</si>
  <si>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</si>
  <si>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</si>
  <si>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</si>
  <si>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</si>
  <si>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</si>
  <si>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</si>
  <si>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</si>
  <si>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</si>
  <si>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</si>
  <si>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</si>
  <si>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</si>
  <si>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</si>
  <si>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</si>
  <si>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</si>
  <si>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</si>
  <si>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</si>
  <si>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</si>
  <si>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</si>
  <si>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</si>
  <si>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</si>
  <si>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</si>
  <si>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</si>
  <si>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</si>
  <si>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</si>
  <si>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</si>
  <si>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</si>
  <si>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</si>
  <si>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</si>
  <si>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</si>
  <si>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</si>
  <si>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</si>
  <si>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</si>
  <si>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</si>
  <si>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</si>
  <si>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</si>
  <si>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</si>
  <si>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</si>
  <si>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</si>
  <si>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</si>
  <si>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</si>
  <si>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</si>
  <si>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</si>
  <si>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</si>
  <si>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</si>
  <si>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</si>
  <si>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</si>
  <si>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</si>
  <si>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</si>
  <si>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</si>
  <si>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</si>
  <si>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</si>
  <si>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</si>
  <si>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</si>
  <si>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</si>
  <si>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</si>
  <si>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</si>
  <si>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</si>
  <si>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</si>
  <si>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</si>
  <si>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</si>
  <si>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</si>
  <si>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</si>
  <si>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</si>
  <si>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</si>
  <si>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</si>
  <si>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</si>
  <si>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</si>
  <si>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</si>
  <si>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</si>
  <si>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</si>
  <si>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</si>
  <si>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</si>
  <si>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</si>
  <si>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</si>
  <si>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</si>
  <si>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</si>
  <si>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</si>
  <si>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</si>
  <si>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</si>
  <si>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</si>
  <si>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</si>
  <si>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</si>
  <si>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</si>
  <si>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</si>
  <si>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</si>
  <si>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</si>
  <si>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</si>
  <si>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</si>
  <si>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</si>
  <si>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1240300000</t>
  </si>
  <si>
    <t>1240323580</t>
  </si>
  <si>
    <t>Обеспечение уличного освещения  на территории Удомельского городского округа</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</si>
  <si>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</si>
  <si>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</si>
  <si>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</si>
  <si>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</si>
  <si>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</si>
  <si>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</si>
  <si>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</si>
  <si>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</si>
  <si>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</si>
  <si>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</si>
  <si>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</si>
  <si>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</si>
  <si>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</si>
  <si>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</si>
  <si>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Задача "Благоустройство территории Удомельского городского округа в рамках реализации программы поддержки местных инициатив"</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</si>
  <si>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</si>
  <si>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</si>
  <si>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</si>
  <si>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</si>
  <si>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</si>
  <si>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</si>
  <si>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</si>
  <si>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</si>
  <si>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</si>
  <si>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</si>
  <si>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</si>
  <si>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</si>
  <si>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</si>
  <si>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</si>
  <si>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</si>
  <si>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</si>
  <si>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</si>
  <si>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</si>
  <si>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</si>
  <si>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</si>
  <si>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</si>
  <si>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</si>
  <si>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</si>
  <si>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</si>
  <si>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</si>
  <si>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</si>
  <si>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</si>
  <si>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</si>
  <si>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</si>
  <si>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</si>
  <si>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</si>
  <si>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</si>
  <si>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</si>
  <si>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</si>
  <si>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</si>
  <si>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</si>
  <si>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</si>
  <si>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</si>
  <si>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</si>
  <si>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</si>
  <si>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</si>
  <si>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</si>
  <si>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</si>
  <si>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</si>
  <si>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</si>
  <si>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</si>
  <si>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</si>
  <si>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</si>
  <si>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2025 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</si>
  <si>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</si>
  <si>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</si>
  <si>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</si>
  <si>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</si>
  <si>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</si>
  <si>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</si>
  <si>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</si>
  <si>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Паспортизация автомобильных дорог</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</si>
  <si>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</si>
  <si>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</si>
  <si>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</si>
  <si>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</si>
  <si>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</si>
  <si>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</si>
  <si>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</si>
  <si>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</si>
  <si>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</si>
  <si>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</si>
  <si>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</si>
  <si>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</si>
  <si>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</si>
  <si>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</si>
  <si>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</si>
  <si>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</si>
  <si>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Задача "Работа по формированию здорового образа жизни у несовершеннолетних"</t>
  </si>
  <si>
    <t>000 01 03 00 00 00 0000 000</t>
  </si>
  <si>
    <t>000 01 05 02 01 04 0000 510</t>
  </si>
  <si>
    <t>000 01 05 02 01 04 0000 610</t>
  </si>
  <si>
    <t>03202L5990</t>
  </si>
  <si>
    <t>Задача "Обеспечение жильем молодых семей Удомельского городского округа"</t>
  </si>
  <si>
    <t>"О внесении изменений в решение  Удомельской</t>
  </si>
  <si>
    <t>0410223220</t>
  </si>
  <si>
    <t>0410223215</t>
  </si>
  <si>
    <t>0410223210</t>
  </si>
  <si>
    <t>0410327210</t>
  </si>
  <si>
    <t>0410327220</t>
  </si>
  <si>
    <t>0410327230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</si>
  <si>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</si>
  <si>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</si>
  <si>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</si>
  <si>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</si>
  <si>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</si>
  <si>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</si>
  <si>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</si>
  <si>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</si>
  <si>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</si>
  <si>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</si>
  <si>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</si>
  <si>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Разработка проектно - сметной документации и осуществление строительного контроля</t>
  </si>
  <si>
    <t>Благоустройство парковой зоны ул. Венецианова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</si>
  <si>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</si>
  <si>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</si>
  <si>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01204L3041</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</si>
  <si>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</si>
  <si>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</si>
  <si>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</si>
  <si>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</si>
  <si>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 xml:space="preserve">Организация транспортного обслуживания населения на муниципальных маршрутах регулярных перевозок по регулируемым тарифам </t>
  </si>
  <si>
    <t>Подпрограмма "Содержание, озеленение и благоустройство территории Удомельского городского округа "</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</si>
  <si>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</si>
  <si>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</si>
  <si>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Задача "Реализация  проекта "Патриотическое воспитание граждан Российской Федерации" в рамках национального проекта "Образование"</t>
  </si>
  <si>
    <t>Источники финансирования дефицита местного бюджета на 2024 год  и на плановый период 2025 и 2026 годов</t>
  </si>
  <si>
    <t>на 2024 год и на плановый период 2025 и 2026 годов"</t>
  </si>
  <si>
    <t>2026 год</t>
  </si>
  <si>
    <t>Распределение бюджетных ассигнований  местного бюджета по разделам и подразделам классификации расходов бюджета на 2024 год  и на плановый период 2025 и 2026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</si>
  <si>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</si>
  <si>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</si>
  <si>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</si>
  <si>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телевизионном и радиоэфире"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</si>
  <si>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</si>
  <si>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Председатель Контрольно-счетной комиссии</t>
  </si>
  <si>
    <t>Разработка материалов по описанию границ функциональных зон П-1; П-2; Т-1; Т-2; Т-3;  на  территории Удомельского городского округа на основании Правил землепользования и застройки Удомельского городского округа</t>
  </si>
  <si>
    <t>141F254240</t>
  </si>
  <si>
    <t>Создание комфортной городской среды в малых городах - победителях Всероссийского конкурса лучших проектов создания комфортной городской среды</t>
  </si>
  <si>
    <t>0410327260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</si>
  <si>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реализующим молочную продукцию, на возмещение  части затрат на проведение работ по заготовке кормов</t>
  </si>
  <si>
    <t>Организация транспортного обслуживания населения на муниципальном маршруте регулярных перевозок по регулируемому тарифу внутригородского транспорта</t>
  </si>
  <si>
    <t>021А100000</t>
  </si>
  <si>
    <t>Задача "Реализация  проекта "Культурная среда" в рамках национального проекта "Культура"</t>
  </si>
  <si>
    <t>021А155130</t>
  </si>
  <si>
    <t>Развитие сети учреждений культурно-досугового типа</t>
  </si>
  <si>
    <t>Финансовое обеспечение муниципального задания на выполнение работ муниципального бюджетного учреждения в части организации благоустройства и озеленения</t>
  </si>
  <si>
    <t>Поддержка обустройства мест массового отдыха населения (городских парков)</t>
  </si>
  <si>
    <t>1240321100</t>
  </si>
  <si>
    <t>Финансовое обеспечение муниципального задания на выполнение работ муниципального бюджетного учреждения в части содержания (эксплуатации) имущества, находящегося в государственной собственности</t>
  </si>
  <si>
    <t>01205S8000</t>
  </si>
  <si>
    <t>Финансовое обеспечение реализации проекта в рамках Программы поддержки школьных инициатив за счет средств бюджета УГО</t>
  </si>
  <si>
    <t>Обеспечение комплексной безопасности зданий и помещений муниципальных  учреждений в сфере молодежной политики</t>
  </si>
  <si>
    <t>12102S1450</t>
  </si>
  <si>
    <t>Подпрограмма "Содержание, озеленение и благоустройство территории Удомельского городского округа"</t>
  </si>
  <si>
    <t>городской Думы от 19.12.2023  № 192</t>
  </si>
  <si>
    <t xml:space="preserve"> от 19.12.2023 № 192</t>
  </si>
  <si>
    <t>от 19.12.2023  № 192</t>
  </si>
  <si>
    <t xml:space="preserve"> от  19.12.2023  № 192</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</si>
  <si>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                                                  </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</si>
  <si>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</si>
  <si>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1610123150</t>
  </si>
  <si>
    <t>Разработка проекта организации дорожного движения</t>
  </si>
  <si>
    <t xml:space="preserve"> Приложение 6</t>
  </si>
  <si>
    <t>0420110320</t>
  </si>
  <si>
    <t>012EB00000</t>
  </si>
  <si>
    <t>012E200000</t>
  </si>
  <si>
    <t>Задача "Реализация  проекта "Успех каждого ребенка" в рамках национального проекта "Образование"</t>
  </si>
  <si>
    <t>012E250980</t>
  </si>
  <si>
    <t>13102Д0820</t>
  </si>
  <si>
    <t>0130121120</t>
  </si>
  <si>
    <t>Обеспечение функционирования модели персонифицированного финансирования дополнительного образования</t>
  </si>
  <si>
    <t>620</t>
  </si>
  <si>
    <t>Субсидии автономным учреждениям</t>
  </si>
  <si>
    <t>1310110290</t>
  </si>
  <si>
    <t>Приобретение жилых помещений для малоимущих многодетных семей за счет средств областного бюджета</t>
  </si>
  <si>
    <t>1230123535</t>
  </si>
  <si>
    <t>Санитарная очистка города (сбор, вывоз, утилизация ТКО и КГМ)</t>
  </si>
  <si>
    <t>0110221220</t>
  </si>
  <si>
    <t>Обеспечение комплексной безопасности зданий и помещений дошкольных образовательных учреждений, находящихся в муниципальной собственности</t>
  </si>
  <si>
    <t xml:space="preserve">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</si>
  <si>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Реализация мероприятий по модернизации школьных систем образования за счет средств областного бюджета</t>
  </si>
  <si>
    <t>0220123046</t>
  </si>
  <si>
    <t>Подготовка площадки и установка на ней оборудования</t>
  </si>
  <si>
    <t>Задача "Проведение капитального ремонта (реконструкции) объектов теплоэнергетических комплексов"</t>
  </si>
  <si>
    <t>0720223374</t>
  </si>
  <si>
    <t>Строительство и (или) реконструкция сетей теплоснабжения</t>
  </si>
  <si>
    <t>01205S8003</t>
  </si>
  <si>
    <t>01205S8004</t>
  </si>
  <si>
    <t>Финансовое обеспечение реализации проекта  "Обучение с развлечением "Умная механика" в МБОУ УСОШ №1 им.А.С.Попова</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</si>
  <si>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</si>
  <si>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Приобретение оборудования и техники для нужд муниципального бюджетного учреждения</t>
  </si>
  <si>
    <t>0210400000</t>
  </si>
  <si>
    <t>Задача "Укрепление и модернизация материально-технической базы муниципальных учреждений дополнительного образования в сфере культуры и искусства Удомельского городского округа"</t>
  </si>
  <si>
    <t>0210421220</t>
  </si>
  <si>
    <t>Обеспечение комплексной безопасности зданий и помещений муниципальных  учреждений дополнительного образования в сфере культуры и искусства</t>
  </si>
  <si>
    <t>0210321210</t>
  </si>
  <si>
    <t>Финансовое обеспечение мероприятий капитального и (или) текущего ремонтов муниципальных  учреждений культуры</t>
  </si>
  <si>
    <t>Установка остановочных комплексов</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</si>
  <si>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</si>
  <si>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Реализация мероприятий по модернизации школьных систем образования</t>
  </si>
  <si>
    <t>Укрепление материально-технической базы общеобразовательных учреждений за счет средств областного бюджета</t>
  </si>
  <si>
    <t>Реализация мероприятий по модернизации школьных систем образования за счет средств  бюджета округа</t>
  </si>
  <si>
    <t>15103S9000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</si>
  <si>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</si>
  <si>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0310210440</t>
  </si>
  <si>
    <t>03102S0440</t>
  </si>
  <si>
    <t>03102L7500</t>
  </si>
  <si>
    <t>03102A7500</t>
  </si>
  <si>
    <t>03102S7500</t>
  </si>
  <si>
    <t>Задача "Обеспечение доступности  транспортных услуг в общеобразовательных учреждениях в части  подвоза обучающихся к месту обучения и обратно"</t>
  </si>
  <si>
    <t>Задача "Создание условий для непрерывного развития кадрового потенциала отрасли "Образование"</t>
  </si>
  <si>
    <t>Задача "Создание условий для воспитания гармонично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</si>
  <si>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всероссийских мероприятиях</t>
  </si>
  <si>
    <t>0120518003</t>
  </si>
  <si>
    <t>0120518004</t>
  </si>
  <si>
    <t>0120211460</t>
  </si>
  <si>
    <t>Укрепление материально-технической базы в целях осуществления мероприятий по работе с детьми и молодежью, в том числе гражданско-патриотическому воспитанию</t>
  </si>
  <si>
    <t>Финансовое обеспечение реализации проекта  "Арт-вдохновение" в МБОУ УСОШ №4</t>
  </si>
  <si>
    <t>02101L5199</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</si>
  <si>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 Тверской области)</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</si>
  <si>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</si>
  <si>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01201R3031</t>
  </si>
  <si>
    <t>830</t>
  </si>
  <si>
    <t>Исполнение судебных актов</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</si>
  <si>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</si>
  <si>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</si>
  <si>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</si>
  <si>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</si>
  <si>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</si>
  <si>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</si>
  <si>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</si>
  <si>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0210310920</t>
  </si>
  <si>
    <t>0320223201</t>
  </si>
  <si>
    <t>Подготовка проектов межевания земельных участков и проведение кадастровых работ на землях сельскохозяйственного назначения в целях создания условий для развития сельскохозяйственного производства за счет бюджета округа</t>
  </si>
  <si>
    <t>Предоставление собственникам жилых помещений в аварийном жилищном фонде возмещения за жилое помещение</t>
  </si>
  <si>
    <t>Подпрограмма «Реализация мероприятий поддержки общественных и гражданских инициатив  на территории Удомельского городского округа»</t>
  </si>
  <si>
    <t>Ремонт Обелиска Победы воинам-удомельцам, погибшим в Великую Отечественную Войну, расположенный пр.Энергетиков, г.Удомля</t>
  </si>
  <si>
    <t xml:space="preserve"> Финансовое обеспечение мероприятий по укреплению материально-технической базы муниципальных общеобразовательных учреждений</t>
  </si>
  <si>
    <t>Финансовое обеспечение мероприятий по укреплению материально-технической базы муниципальных общеобразовательных учреждений</t>
  </si>
  <si>
    <t>Содержание и ремонт детских и спортивных площадок</t>
  </si>
  <si>
    <t>1240323585</t>
  </si>
  <si>
    <t xml:space="preserve"> Содержание сетей уличного освещения</t>
  </si>
  <si>
    <t>Задача "Восстановление и обустройство воинских захоронений и военно-мемориальных объектов"</t>
  </si>
  <si>
    <t>244</t>
  </si>
  <si>
    <t>1210300000</t>
  </si>
  <si>
    <t>Задача "Увековечение памяти погибших при защите Отечества"</t>
  </si>
  <si>
    <t>1210310280</t>
  </si>
  <si>
    <t>Проведение работ по восстановлению воинских захоронений</t>
  </si>
  <si>
    <t>12103S0280</t>
  </si>
  <si>
    <t xml:space="preserve">Укрепление материально-технической базы учреждений </t>
  </si>
  <si>
    <t>0310223179</t>
  </si>
  <si>
    <t xml:space="preserve">Думы от 22.08.2024  №221 </t>
  </si>
  <si>
    <t xml:space="preserve">Думы от  22.08.2024  №221 </t>
  </si>
  <si>
    <t xml:space="preserve">Думы от 22.08.2024   №221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</si>
</sst>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0"/>
    <numFmt numFmtId="166" formatCode="#,##0.0"/>
  </numFmts>
  <fonts count="49" x14ac:knownFonts="1">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rgb="FF1A1A1A"/>
      <name val="Arial"/>
      <family val="2"/>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8"/>
      </left>
      <right style="thin">
        <color indexed="8"/>
      </right>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07">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49" fontId="39" fillId="0" borderId="1" xfId="0" applyNumberFormat="1" applyFont="1" applyBorder="1" applyAlignment="1">
      <alignment horizontal="center"/>
    </xf>
    <xf numFmtId="164" fontId="10" fillId="0" borderId="0" xfId="0" applyNumberFormat="1" applyFont="1"/>
    <xf numFmtId="0" fontId="25" fillId="0" borderId="16" xfId="0" applyFont="1" applyBorder="1" applyAlignment="1">
      <alignment horizontal="left" vertical="center" wrapText="1"/>
    </xf>
    <xf numFmtId="164" fontId="0" fillId="0" borderId="4" xfId="0" applyNumberFormat="1" applyBorder="1"/>
    <xf numFmtId="49" fontId="0" fillId="2" borderId="1" xfId="0" applyNumberFormat="1" applyFill="1" applyBorder="1" applyAlignment="1">
      <alignment horizontal="center"/>
    </xf>
    <xf numFmtId="49" fontId="1" fillId="2" borderId="1" xfId="0" applyNumberFormat="1" applyFont="1" applyFill="1" applyBorder="1" applyAlignment="1">
      <alignment horizontal="center"/>
    </xf>
    <xf numFmtId="1" fontId="40" fillId="2" borderId="1" xfId="4" applyFill="1" applyBorder="1" applyAlignment="1">
      <alignment horizontal="center" shrinkToFit="1"/>
    </xf>
    <xf numFmtId="0" fontId="25" fillId="2" borderId="1" xfId="0" applyFont="1" applyFill="1" applyBorder="1" applyAlignment="1">
      <alignment horizontal="left" vertical="center" wrapText="1"/>
    </xf>
    <xf numFmtId="164" fontId="1" fillId="2" borderId="1" xfId="0" applyNumberFormat="1" applyFont="1" applyFill="1" applyBorder="1"/>
    <xf numFmtId="164" fontId="18" fillId="0" borderId="0" xfId="0" applyNumberFormat="1" applyFont="1"/>
    <xf numFmtId="0" fontId="48" fillId="0" borderId="0" xfId="0" applyFont="1" applyAlignment="1">
      <alignment wrapText="1"/>
    </xf>
    <xf numFmtId="0" fontId="39" fillId="0" borderId="0" xfId="0" applyFont="1"/>
    <xf numFmtId="0" fontId="11" fillId="0" borderId="0" xfId="0" applyFont="1" applyAlignment="1">
      <alignment vertical="center" wrapText="1"/>
    </xf>
    <xf numFmtId="49" fontId="11" fillId="0" borderId="0" xfId="0" applyNumberFormat="1" applyFont="1" applyAlignment="1">
      <alignment horizontal="center"/>
    </xf>
    <xf numFmtId="164" fontId="14" fillId="2" borderId="1" xfId="0" applyNumberFormat="1" applyFont="1" applyFill="1" applyBorder="1"/>
    <xf numFmtId="0" fontId="39" fillId="0" borderId="1" xfId="5" applyFont="1" applyBorder="1">
      <alignment vertical="top" wrapText="1"/>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8" xfId="0" applyBorder="1"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11" xfId="0" applyBorder="1" applyAlignment="1">
      <alignment wrapText="1"/>
    </xf>
    <xf numFmtId="0" fontId="0" fillId="0" borderId="8" xfId="0" applyBorder="1" applyAlignment="1">
      <alignment wrapText="1"/>
    </xf>
    <xf numFmtId="0" fontId="0" fillId="0" borderId="0" xfId="0" applyAlignment="1">
      <alignment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5" xfId="0" applyBorder="1" applyAlignment="1">
      <alignment horizontal="center"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BreakPreview" zoomScale="60" zoomScaleNormal="100" workbookViewId="0">
      <selection activeCell="C5" sqref="C5"/>
    </sheetView>
  </sheetViews>
  <sheetFormatPr defaultColWidth="9.140625" defaultRowHeight="12.75" x14ac:dyDescent="0.2"/>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x14ac:dyDescent="0.2">
      <c r="B1" s="155" t="s">
        <v>137</v>
      </c>
    </row>
    <row r="2" spans="1:3" x14ac:dyDescent="0.2">
      <c r="B2" s="155" t="s">
        <v>565</v>
      </c>
    </row>
    <row r="3" spans="1:3" x14ac:dyDescent="0.2">
      <c r="B3" s="155" t="s">
        <v>779</v>
      </c>
    </row>
    <row r="4" spans="1:3" x14ac:dyDescent="0.2">
      <c r="B4" s="155" t="s">
        <v>621</v>
      </c>
    </row>
    <row r="5" spans="1:3" x14ac:dyDescent="0.2">
      <c r="B5" s="155" t="s">
        <v>682</v>
      </c>
    </row>
    <row r="6" spans="1:3" x14ac:dyDescent="0.2">
      <c r="B6" s="155" t="s">
        <v>143</v>
      </c>
    </row>
    <row r="7" spans="1:3" x14ac:dyDescent="0.2">
      <c r="B7" s="155" t="s">
        <v>654</v>
      </c>
    </row>
    <row r="11" spans="1:3" x14ac:dyDescent="0.2">
      <c r="A11" s="7"/>
      <c r="B11" s="155" t="s">
        <v>137</v>
      </c>
      <c r="C11" s="88"/>
    </row>
    <row r="12" spans="1:3" x14ac:dyDescent="0.2">
      <c r="A12" s="7"/>
      <c r="B12" s="155" t="s">
        <v>370</v>
      </c>
      <c r="C12" s="88"/>
    </row>
    <row r="13" spans="1:3" x14ac:dyDescent="0.2">
      <c r="A13" s="7"/>
      <c r="B13" s="155" t="s">
        <v>683</v>
      </c>
      <c r="C13" s="88"/>
    </row>
    <row r="14" spans="1:3" x14ac:dyDescent="0.2">
      <c r="A14" s="7"/>
      <c r="B14" s="155" t="s">
        <v>143</v>
      </c>
      <c r="C14" s="88"/>
    </row>
    <row r="15" spans="1:3" x14ac:dyDescent="0.2">
      <c r="A15" s="7"/>
      <c r="B15" s="155" t="s">
        <v>654</v>
      </c>
      <c r="C15" s="88"/>
    </row>
    <row r="16" spans="1:3" x14ac:dyDescent="0.2">
      <c r="A16" s="7"/>
      <c r="B16" s="155"/>
      <c r="C16" s="88"/>
    </row>
    <row r="17" spans="1:7" ht="27.75" customHeight="1" x14ac:dyDescent="0.2">
      <c r="A17" s="180" t="s">
        <v>653</v>
      </c>
      <c r="B17" s="180"/>
      <c r="C17" s="180"/>
      <c r="D17" s="180"/>
      <c r="E17" s="180"/>
      <c r="F17" s="180"/>
      <c r="G17" s="180"/>
    </row>
    <row r="19" spans="1:7" x14ac:dyDescent="0.2">
      <c r="C19" s="112"/>
    </row>
    <row r="20" spans="1:7" s="114" customFormat="1" x14ac:dyDescent="0.2">
      <c r="A20" s="181" t="s">
        <v>319</v>
      </c>
      <c r="B20" s="184" t="s">
        <v>90</v>
      </c>
      <c r="C20" s="187" t="s">
        <v>27</v>
      </c>
      <c r="D20" s="188"/>
      <c r="E20" s="188"/>
      <c r="F20" s="188"/>
      <c r="G20" s="189"/>
    </row>
    <row r="21" spans="1:7" s="114" customFormat="1" x14ac:dyDescent="0.2">
      <c r="A21" s="182"/>
      <c r="B21" s="185"/>
      <c r="C21" s="190" t="s">
        <v>464</v>
      </c>
      <c r="D21" s="192" t="s">
        <v>140</v>
      </c>
      <c r="E21" s="193"/>
      <c r="F21" s="192" t="s">
        <v>140</v>
      </c>
      <c r="G21" s="193"/>
    </row>
    <row r="22" spans="1:7" s="114" customFormat="1" x14ac:dyDescent="0.2">
      <c r="A22" s="183"/>
      <c r="B22" s="186"/>
      <c r="C22" s="191"/>
      <c r="D22" s="1" t="s">
        <v>141</v>
      </c>
      <c r="E22" s="1" t="s">
        <v>142</v>
      </c>
      <c r="F22" s="143" t="s">
        <v>590</v>
      </c>
      <c r="G22" s="143" t="s">
        <v>655</v>
      </c>
    </row>
    <row r="23" spans="1:7" s="114" customFormat="1" ht="48" x14ac:dyDescent="0.2">
      <c r="A23" s="156" t="s">
        <v>616</v>
      </c>
      <c r="B23" s="157" t="s">
        <v>634</v>
      </c>
      <c r="C23" s="117">
        <f>C24</f>
        <v>-24975</v>
      </c>
      <c r="D23" s="117">
        <f t="shared" ref="D23:G23" si="0">D24</f>
        <v>-47400</v>
      </c>
      <c r="E23" s="117">
        <f t="shared" si="0"/>
        <v>-47400</v>
      </c>
      <c r="F23" s="117">
        <f t="shared" si="0"/>
        <v>0</v>
      </c>
      <c r="G23" s="117">
        <f t="shared" si="0"/>
        <v>0</v>
      </c>
    </row>
    <row r="24" spans="1:7" s="19" customFormat="1" ht="60" x14ac:dyDescent="0.2">
      <c r="A24" s="158" t="s">
        <v>635</v>
      </c>
      <c r="B24" s="115" t="s">
        <v>636</v>
      </c>
      <c r="C24" s="113">
        <f>C25</f>
        <v>-24975</v>
      </c>
      <c r="D24" s="113">
        <f t="shared" ref="D24:G24" si="1">D25</f>
        <v>-47400</v>
      </c>
      <c r="E24" s="113">
        <f t="shared" si="1"/>
        <v>-47400</v>
      </c>
      <c r="F24" s="113">
        <f t="shared" si="1"/>
        <v>0</v>
      </c>
      <c r="G24" s="113">
        <f t="shared" si="1"/>
        <v>0</v>
      </c>
    </row>
    <row r="25" spans="1:7" ht="117" customHeight="1" x14ac:dyDescent="0.2">
      <c r="A25" s="159" t="s">
        <v>637</v>
      </c>
      <c r="B25" s="116" t="s">
        <v>638</v>
      </c>
      <c r="C25" s="113">
        <v>-24975</v>
      </c>
      <c r="D25" s="113">
        <v>-47400</v>
      </c>
      <c r="E25" s="113">
        <v>-47400</v>
      </c>
      <c r="F25" s="113"/>
      <c r="G25" s="113">
        <v>0</v>
      </c>
    </row>
    <row r="26" spans="1:7" ht="27.75" customHeight="1" x14ac:dyDescent="0.2">
      <c r="A26" s="91" t="s">
        <v>320</v>
      </c>
      <c r="B26" s="118" t="s">
        <v>321</v>
      </c>
      <c r="C26" s="117">
        <f t="shared" ref="C26:G26" si="2">C27+C29</f>
        <v>104260.5</v>
      </c>
      <c r="D26" s="117">
        <f t="shared" si="2"/>
        <v>0</v>
      </c>
      <c r="E26" s="117">
        <f t="shared" si="2"/>
        <v>0</v>
      </c>
      <c r="F26" s="117">
        <f t="shared" si="2"/>
        <v>0</v>
      </c>
      <c r="G26" s="117">
        <f t="shared" si="2"/>
        <v>0</v>
      </c>
    </row>
    <row r="27" spans="1:7" ht="24" x14ac:dyDescent="0.2">
      <c r="A27" s="24" t="s">
        <v>322</v>
      </c>
      <c r="B27" s="115" t="s">
        <v>323</v>
      </c>
      <c r="C27" s="119">
        <f>C28</f>
        <v>-1668350.6</v>
      </c>
      <c r="D27" s="119">
        <f t="shared" ref="D27:E27" si="3">D28</f>
        <v>0</v>
      </c>
      <c r="E27" s="119">
        <f t="shared" si="3"/>
        <v>0</v>
      </c>
      <c r="F27" s="119">
        <f>F28</f>
        <v>-1183828.3999999999</v>
      </c>
      <c r="G27" s="119">
        <f>G28</f>
        <v>-1200885.3</v>
      </c>
    </row>
    <row r="28" spans="1:7" ht="36" x14ac:dyDescent="0.2">
      <c r="A28" s="25" t="s">
        <v>617</v>
      </c>
      <c r="B28" s="116" t="s">
        <v>324</v>
      </c>
      <c r="C28" s="113">
        <v>-1668350.6</v>
      </c>
      <c r="D28" s="113"/>
      <c r="E28" s="113"/>
      <c r="F28" s="113">
        <v>-1183828.3999999999</v>
      </c>
      <c r="G28" s="113">
        <v>-1200885.3</v>
      </c>
    </row>
    <row r="29" spans="1:7" ht="24" x14ac:dyDescent="0.2">
      <c r="A29" s="24" t="s">
        <v>325</v>
      </c>
      <c r="B29" s="115" t="s">
        <v>326</v>
      </c>
      <c r="C29" s="119">
        <f>C30</f>
        <v>1772611.1</v>
      </c>
      <c r="D29" s="119">
        <f t="shared" ref="D29:G29" si="4">D30</f>
        <v>0</v>
      </c>
      <c r="E29" s="119">
        <f t="shared" si="4"/>
        <v>0</v>
      </c>
      <c r="F29" s="119">
        <f>F30</f>
        <v>1183828.3999999999</v>
      </c>
      <c r="G29" s="119">
        <f t="shared" si="4"/>
        <v>1200885.3</v>
      </c>
    </row>
    <row r="30" spans="1:7" ht="36" x14ac:dyDescent="0.2">
      <c r="A30" s="120" t="s">
        <v>618</v>
      </c>
      <c r="B30" s="121" t="s">
        <v>327</v>
      </c>
      <c r="C30" s="113">
        <v>1772611.1</v>
      </c>
      <c r="D30" s="113"/>
      <c r="E30" s="113"/>
      <c r="F30" s="113">
        <v>1183828.3999999999</v>
      </c>
      <c r="G30" s="113">
        <v>1200885.3</v>
      </c>
    </row>
    <row r="31" spans="1:7" ht="12.75" customHeight="1" x14ac:dyDescent="0.2">
      <c r="A31" s="178" t="s">
        <v>328</v>
      </c>
      <c r="B31" s="179"/>
      <c r="C31" s="117">
        <f>C23+C27+C29</f>
        <v>79285.5</v>
      </c>
      <c r="D31" s="117">
        <f>D23+D27+D29</f>
        <v>-47400</v>
      </c>
      <c r="E31" s="117">
        <f>E23+E27+E29</f>
        <v>-47400</v>
      </c>
      <c r="F31" s="117">
        <f>F23+F27+F29</f>
        <v>0</v>
      </c>
      <c r="G31" s="117">
        <f>G23+G27+G29</f>
        <v>0</v>
      </c>
    </row>
  </sheetData>
  <mergeCells count="8">
    <mergeCell ref="A31:B31"/>
    <mergeCell ref="A17:G17"/>
    <mergeCell ref="A20:A22"/>
    <mergeCell ref="B20:B22"/>
    <mergeCell ref="C20:G20"/>
    <mergeCell ref="C21:C22"/>
    <mergeCell ref="D21:E21"/>
    <mergeCell ref="F21:G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G67"/>
  <sheetViews>
    <sheetView view="pageBreakPreview" zoomScale="60" zoomScaleNormal="100" workbookViewId="0">
      <selection activeCell="E5" sqref="E5"/>
    </sheetView>
  </sheetViews>
  <sheetFormatPr defaultColWidth="9.140625" defaultRowHeight="14.25" x14ac:dyDescent="0.2"/>
  <cols>
    <col min="1" max="1" width="3" style="19" customWidth="1"/>
    <col min="2" max="2" width="3.140625" customWidth="1"/>
    <col min="3" max="3" width="3.28515625" customWidth="1"/>
    <col min="4" max="4" width="42.7109375" customWidth="1"/>
    <col min="5" max="5" width="12.42578125" customWidth="1"/>
    <col min="6" max="6" width="13.140625" customWidth="1"/>
    <col min="7" max="7" width="12.42578125" customWidth="1"/>
  </cols>
  <sheetData>
    <row r="1" spans="1:7" x14ac:dyDescent="0.2">
      <c r="D1" s="87" t="s">
        <v>562</v>
      </c>
      <c r="E1" s="7"/>
    </row>
    <row r="2" spans="1:7" x14ac:dyDescent="0.2">
      <c r="D2" s="87" t="s">
        <v>565</v>
      </c>
      <c r="E2" s="7"/>
    </row>
    <row r="3" spans="1:7" x14ac:dyDescent="0.2">
      <c r="D3" s="87" t="s">
        <v>780</v>
      </c>
      <c r="E3" s="7"/>
    </row>
    <row r="4" spans="1:7" x14ac:dyDescent="0.2">
      <c r="D4" s="87" t="s">
        <v>621</v>
      </c>
      <c r="E4" s="7"/>
    </row>
    <row r="5" spans="1:7" x14ac:dyDescent="0.2">
      <c r="D5" s="87" t="s">
        <v>682</v>
      </c>
      <c r="E5" s="7"/>
    </row>
    <row r="6" spans="1:7" x14ac:dyDescent="0.2">
      <c r="D6" s="87" t="s">
        <v>143</v>
      </c>
      <c r="E6" s="7"/>
    </row>
    <row r="7" spans="1:7" x14ac:dyDescent="0.2">
      <c r="D7" s="87" t="s">
        <v>654</v>
      </c>
      <c r="E7" s="7"/>
    </row>
    <row r="8" spans="1:7" x14ac:dyDescent="0.2">
      <c r="E8" s="7"/>
    </row>
    <row r="9" spans="1:7" x14ac:dyDescent="0.2">
      <c r="D9" s="87" t="s">
        <v>562</v>
      </c>
      <c r="E9" s="7"/>
    </row>
    <row r="10" spans="1:7" x14ac:dyDescent="0.2">
      <c r="D10" s="87" t="s">
        <v>370</v>
      </c>
      <c r="E10" s="7"/>
    </row>
    <row r="11" spans="1:7" x14ac:dyDescent="0.2">
      <c r="D11" s="87" t="s">
        <v>684</v>
      </c>
      <c r="E11" s="7"/>
    </row>
    <row r="12" spans="1:7" x14ac:dyDescent="0.2">
      <c r="D12" s="87" t="s">
        <v>143</v>
      </c>
      <c r="E12" s="7"/>
    </row>
    <row r="13" spans="1:7" x14ac:dyDescent="0.2">
      <c r="D13" s="87" t="s">
        <v>654</v>
      </c>
      <c r="E13" s="7"/>
    </row>
    <row r="14" spans="1:7" x14ac:dyDescent="0.2">
      <c r="E14" s="7"/>
    </row>
    <row r="15" spans="1:7" x14ac:dyDescent="0.2">
      <c r="E15" s="7"/>
    </row>
    <row r="16" spans="1:7" ht="47.25" customHeight="1" x14ac:dyDescent="0.2">
      <c r="A16" s="180" t="s">
        <v>656</v>
      </c>
      <c r="B16" s="180"/>
      <c r="C16" s="180"/>
      <c r="D16" s="180"/>
      <c r="E16" s="180"/>
      <c r="F16" s="194"/>
      <c r="G16" s="194"/>
    </row>
    <row r="18" spans="1:7" x14ac:dyDescent="0.2">
      <c r="E18" s="6"/>
    </row>
    <row r="19" spans="1:7" ht="12.75" x14ac:dyDescent="0.2">
      <c r="A19" s="195" t="s">
        <v>87</v>
      </c>
      <c r="B19" s="190" t="s">
        <v>21</v>
      </c>
      <c r="C19" s="190" t="s">
        <v>26</v>
      </c>
      <c r="D19" s="184" t="s">
        <v>90</v>
      </c>
      <c r="E19" s="199" t="s">
        <v>27</v>
      </c>
      <c r="F19" s="179"/>
      <c r="G19" s="179"/>
    </row>
    <row r="20" spans="1:7" ht="12.75" x14ac:dyDescent="0.2">
      <c r="A20" s="196"/>
      <c r="B20" s="198"/>
      <c r="C20" s="198"/>
      <c r="D20" s="185"/>
      <c r="E20" s="190" t="s">
        <v>464</v>
      </c>
      <c r="F20" s="179" t="s">
        <v>140</v>
      </c>
      <c r="G20" s="179"/>
    </row>
    <row r="21" spans="1:7" ht="12.75" x14ac:dyDescent="0.2">
      <c r="A21" s="197"/>
      <c r="B21" s="191"/>
      <c r="C21" s="191"/>
      <c r="D21" s="186"/>
      <c r="E21" s="191"/>
      <c r="F21" s="143" t="s">
        <v>590</v>
      </c>
      <c r="G21" s="143" t="s">
        <v>655</v>
      </c>
    </row>
    <row r="22" spans="1:7" ht="12.75" x14ac:dyDescent="0.2">
      <c r="A22" s="2">
        <v>1</v>
      </c>
      <c r="B22" s="2">
        <v>2</v>
      </c>
      <c r="C22" s="2">
        <v>3</v>
      </c>
      <c r="D22" s="2">
        <v>4</v>
      </c>
      <c r="E22" s="2">
        <v>5</v>
      </c>
      <c r="F22" s="2">
        <v>6</v>
      </c>
      <c r="G22" s="2">
        <v>7</v>
      </c>
    </row>
    <row r="23" spans="1:7" ht="18" x14ac:dyDescent="0.25">
      <c r="A23" s="67"/>
      <c r="B23" s="12"/>
      <c r="C23" s="12"/>
      <c r="D23" s="9" t="s">
        <v>92</v>
      </c>
      <c r="E23" s="95">
        <f>E24+E32+E36+E41+E46+E53+E56+E60+E62+E64</f>
        <v>1751889.1</v>
      </c>
      <c r="F23" s="95">
        <f t="shared" ref="F23:G23" si="0">F24+F32+F36+F41+F46+F53+F56+F60+F62+F64</f>
        <v>1169103.3000000003</v>
      </c>
      <c r="G23" s="95">
        <f t="shared" si="0"/>
        <v>1170882.0000000002</v>
      </c>
    </row>
    <row r="24" spans="1:7" ht="15.75" x14ac:dyDescent="0.25">
      <c r="A24" s="15">
        <v>1</v>
      </c>
      <c r="B24" s="4" t="s">
        <v>88</v>
      </c>
      <c r="C24" s="11"/>
      <c r="D24" s="3" t="s">
        <v>91</v>
      </c>
      <c r="E24" s="92">
        <f>SUM(E25:E31)</f>
        <v>298254.3</v>
      </c>
      <c r="F24" s="92">
        <f>SUM(F25:F31)</f>
        <v>126127.9</v>
      </c>
      <c r="G24" s="92">
        <f>SUM(G25:G31)</f>
        <v>126199.4</v>
      </c>
    </row>
    <row r="25" spans="1:7" ht="38.25" x14ac:dyDescent="0.2">
      <c r="A25" s="67"/>
      <c r="B25" s="5" t="s">
        <v>88</v>
      </c>
      <c r="C25" s="5" t="s">
        <v>89</v>
      </c>
      <c r="D25" s="22" t="s">
        <v>17</v>
      </c>
      <c r="E25" s="39">
        <v>2787.2</v>
      </c>
      <c r="F25" s="39">
        <v>2266.3000000000002</v>
      </c>
      <c r="G25" s="39">
        <v>2266.3000000000002</v>
      </c>
    </row>
    <row r="26" spans="1:7" ht="51" x14ac:dyDescent="0.2">
      <c r="A26" s="67"/>
      <c r="B26" s="5" t="s">
        <v>88</v>
      </c>
      <c r="C26" s="5" t="s">
        <v>93</v>
      </c>
      <c r="D26" s="22" t="s">
        <v>127</v>
      </c>
      <c r="E26" s="39">
        <f>4692.8-150</f>
        <v>4542.8</v>
      </c>
      <c r="F26" s="39">
        <v>4420.3</v>
      </c>
      <c r="G26" s="39">
        <v>4420.3</v>
      </c>
    </row>
    <row r="27" spans="1:7" ht="51" x14ac:dyDescent="0.2">
      <c r="A27" s="67"/>
      <c r="B27" s="5" t="s">
        <v>88</v>
      </c>
      <c r="C27" s="5" t="s">
        <v>94</v>
      </c>
      <c r="D27" s="22" t="s">
        <v>120</v>
      </c>
      <c r="E27" s="39">
        <v>58005.1</v>
      </c>
      <c r="F27" s="39">
        <v>56289.9</v>
      </c>
      <c r="G27" s="39">
        <v>56293.7</v>
      </c>
    </row>
    <row r="28" spans="1:7" x14ac:dyDescent="0.2">
      <c r="A28" s="67"/>
      <c r="B28" s="5" t="s">
        <v>88</v>
      </c>
      <c r="C28" s="5" t="s">
        <v>95</v>
      </c>
      <c r="D28" s="99" t="s">
        <v>288</v>
      </c>
      <c r="E28" s="107">
        <v>8.3000000000000007</v>
      </c>
      <c r="F28" s="107">
        <v>8.6</v>
      </c>
      <c r="G28" s="107">
        <v>98</v>
      </c>
    </row>
    <row r="29" spans="1:7" ht="38.25" x14ac:dyDescent="0.2">
      <c r="A29" s="67"/>
      <c r="B29" s="5" t="s">
        <v>88</v>
      </c>
      <c r="C29" s="5" t="s">
        <v>96</v>
      </c>
      <c r="D29" s="99" t="s">
        <v>10</v>
      </c>
      <c r="E29" s="39">
        <v>14240</v>
      </c>
      <c r="F29" s="39">
        <v>13696.9</v>
      </c>
      <c r="G29" s="39">
        <v>13696.9</v>
      </c>
    </row>
    <row r="30" spans="1:7" x14ac:dyDescent="0.2">
      <c r="A30" s="67"/>
      <c r="B30" s="5" t="s">
        <v>88</v>
      </c>
      <c r="C30" s="5" t="s">
        <v>102</v>
      </c>
      <c r="D30" s="99" t="s">
        <v>5</v>
      </c>
      <c r="E30" s="39">
        <f>500-100-153.7</f>
        <v>246.3</v>
      </c>
      <c r="F30" s="39">
        <v>500</v>
      </c>
      <c r="G30" s="39">
        <v>500</v>
      </c>
    </row>
    <row r="31" spans="1:7" x14ac:dyDescent="0.2">
      <c r="A31" s="67"/>
      <c r="B31" s="5" t="s">
        <v>88</v>
      </c>
      <c r="C31" s="5" t="s">
        <v>9</v>
      </c>
      <c r="D31" s="1" t="s">
        <v>97</v>
      </c>
      <c r="E31" s="39">
        <f>211454.8+1675.8+5294</f>
        <v>218424.59999999998</v>
      </c>
      <c r="F31" s="39">
        <v>48945.9</v>
      </c>
      <c r="G31" s="39">
        <v>48924.2</v>
      </c>
    </row>
    <row r="32" spans="1:7" ht="33.75" customHeight="1" x14ac:dyDescent="0.25">
      <c r="A32" s="15">
        <v>2</v>
      </c>
      <c r="B32" s="4" t="s">
        <v>93</v>
      </c>
      <c r="C32" s="3"/>
      <c r="D32" s="10" t="s">
        <v>98</v>
      </c>
      <c r="E32" s="92">
        <f>SUM(E33:E35)</f>
        <v>11336.2</v>
      </c>
      <c r="F32" s="92">
        <f t="shared" ref="F32:G32" si="1">SUM(F33:F35)</f>
        <v>9750</v>
      </c>
      <c r="G32" s="92">
        <f t="shared" si="1"/>
        <v>9720.6</v>
      </c>
    </row>
    <row r="33" spans="1:7" ht="15" x14ac:dyDescent="0.25">
      <c r="A33" s="15"/>
      <c r="B33" s="5" t="s">
        <v>93</v>
      </c>
      <c r="C33" s="5" t="s">
        <v>94</v>
      </c>
      <c r="D33" s="99" t="s">
        <v>18</v>
      </c>
      <c r="E33" s="39">
        <v>1414.2</v>
      </c>
      <c r="F33" s="39">
        <v>1414.2</v>
      </c>
      <c r="G33" s="39">
        <v>1414.2</v>
      </c>
    </row>
    <row r="34" spans="1:7" ht="51" x14ac:dyDescent="0.2">
      <c r="A34" s="67"/>
      <c r="B34" s="5" t="s">
        <v>93</v>
      </c>
      <c r="C34" s="5" t="s">
        <v>110</v>
      </c>
      <c r="D34" s="99" t="s">
        <v>372</v>
      </c>
      <c r="E34" s="39">
        <v>9888</v>
      </c>
      <c r="F34" s="39">
        <v>8272.4</v>
      </c>
      <c r="G34" s="39">
        <v>8272.4</v>
      </c>
    </row>
    <row r="35" spans="1:7" ht="38.25" x14ac:dyDescent="0.2">
      <c r="A35" s="67"/>
      <c r="B35" s="5" t="s">
        <v>93</v>
      </c>
      <c r="C35" s="5" t="s">
        <v>121</v>
      </c>
      <c r="D35" s="97" t="s">
        <v>22</v>
      </c>
      <c r="E35" s="39">
        <v>34</v>
      </c>
      <c r="F35" s="39">
        <v>63.4</v>
      </c>
      <c r="G35" s="39">
        <v>34</v>
      </c>
    </row>
    <row r="36" spans="1:7" ht="15.75" x14ac:dyDescent="0.25">
      <c r="A36" s="15">
        <v>3</v>
      </c>
      <c r="B36" s="4" t="s">
        <v>94</v>
      </c>
      <c r="C36" s="3"/>
      <c r="D36" s="10" t="s">
        <v>100</v>
      </c>
      <c r="E36" s="92">
        <f>SUM(E37:E40)</f>
        <v>251083.9</v>
      </c>
      <c r="F36" s="92">
        <f>SUM(F37:F40)</f>
        <v>182614</v>
      </c>
      <c r="G36" s="92">
        <f>SUM(G37:G40)</f>
        <v>180426.30000000002</v>
      </c>
    </row>
    <row r="37" spans="1:7" x14ac:dyDescent="0.2">
      <c r="A37" s="67"/>
      <c r="B37" s="5" t="s">
        <v>94</v>
      </c>
      <c r="C37" s="5" t="s">
        <v>95</v>
      </c>
      <c r="D37" s="1" t="s">
        <v>103</v>
      </c>
      <c r="E37" s="39">
        <v>4459.2</v>
      </c>
      <c r="F37" s="39">
        <v>2222.9</v>
      </c>
      <c r="G37" s="39">
        <v>2222.9</v>
      </c>
    </row>
    <row r="38" spans="1:7" x14ac:dyDescent="0.2">
      <c r="A38" s="67"/>
      <c r="B38" s="5" t="s">
        <v>94</v>
      </c>
      <c r="C38" s="5" t="s">
        <v>101</v>
      </c>
      <c r="D38" s="1" t="s">
        <v>1</v>
      </c>
      <c r="E38" s="39">
        <v>30563.8</v>
      </c>
      <c r="F38" s="39">
        <v>30503.599999999999</v>
      </c>
      <c r="G38" s="39">
        <v>30447.1</v>
      </c>
    </row>
    <row r="39" spans="1:7" x14ac:dyDescent="0.2">
      <c r="A39" s="67"/>
      <c r="B39" s="5" t="s">
        <v>94</v>
      </c>
      <c r="C39" s="5" t="s">
        <v>99</v>
      </c>
      <c r="D39" s="1" t="s">
        <v>198</v>
      </c>
      <c r="E39" s="39">
        <f>214409.9-1041</f>
        <v>213368.9</v>
      </c>
      <c r="F39" s="39">
        <v>148481.29999999999</v>
      </c>
      <c r="G39" s="1">
        <v>146350.1</v>
      </c>
    </row>
    <row r="40" spans="1:7" ht="25.5" x14ac:dyDescent="0.2">
      <c r="A40" s="67"/>
      <c r="B40" s="5" t="s">
        <v>94</v>
      </c>
      <c r="C40" s="5" t="s">
        <v>122</v>
      </c>
      <c r="D40" s="99" t="s">
        <v>4</v>
      </c>
      <c r="E40" s="39">
        <v>2692</v>
      </c>
      <c r="F40" s="39">
        <v>1406.2</v>
      </c>
      <c r="G40" s="39">
        <v>1406.2</v>
      </c>
    </row>
    <row r="41" spans="1:7" ht="15.75" x14ac:dyDescent="0.25">
      <c r="A41" s="15">
        <v>4</v>
      </c>
      <c r="B41" s="4" t="s">
        <v>95</v>
      </c>
      <c r="C41" s="5"/>
      <c r="D41" s="49" t="s">
        <v>47</v>
      </c>
      <c r="E41" s="92">
        <f>SUM(E42:E45)</f>
        <v>313200.60000000003</v>
      </c>
      <c r="F41" s="92">
        <f t="shared" ref="F41:G41" si="2">SUM(F42:F45)</f>
        <v>52075.799999999996</v>
      </c>
      <c r="G41" s="92">
        <f t="shared" si="2"/>
        <v>47947</v>
      </c>
    </row>
    <row r="42" spans="1:7" ht="15" x14ac:dyDescent="0.25">
      <c r="A42" s="15"/>
      <c r="B42" s="16" t="s">
        <v>95</v>
      </c>
      <c r="C42" s="16" t="s">
        <v>88</v>
      </c>
      <c r="D42" s="51" t="s">
        <v>42</v>
      </c>
      <c r="E42" s="41">
        <f>4389.3+150</f>
        <v>4539.3</v>
      </c>
      <c r="F42" s="39">
        <v>5761.3</v>
      </c>
      <c r="G42" s="39">
        <v>2611.3000000000002</v>
      </c>
    </row>
    <row r="43" spans="1:7" ht="15" x14ac:dyDescent="0.25">
      <c r="A43" s="15"/>
      <c r="B43" s="16" t="s">
        <v>95</v>
      </c>
      <c r="C43" s="16" t="s">
        <v>89</v>
      </c>
      <c r="D43" s="51" t="s">
        <v>41</v>
      </c>
      <c r="E43" s="41">
        <v>52893.3</v>
      </c>
      <c r="F43" s="39">
        <v>13487.8</v>
      </c>
      <c r="G43" s="39">
        <v>12484</v>
      </c>
    </row>
    <row r="44" spans="1:7" x14ac:dyDescent="0.2">
      <c r="A44" s="67"/>
      <c r="B44" s="16" t="s">
        <v>95</v>
      </c>
      <c r="C44" s="16" t="s">
        <v>93</v>
      </c>
      <c r="D44" s="51" t="s">
        <v>48</v>
      </c>
      <c r="E44" s="41">
        <v>254387.1</v>
      </c>
      <c r="F44" s="147">
        <v>31645.8</v>
      </c>
      <c r="G44" s="1">
        <v>31670.799999999999</v>
      </c>
    </row>
    <row r="45" spans="1:7" ht="27" customHeight="1" x14ac:dyDescent="0.2">
      <c r="A45" s="67"/>
      <c r="B45" s="16" t="s">
        <v>95</v>
      </c>
      <c r="C45" s="82" t="s">
        <v>95</v>
      </c>
      <c r="D45" s="97" t="s">
        <v>478</v>
      </c>
      <c r="E45" s="41">
        <v>1380.9</v>
      </c>
      <c r="F45" s="41">
        <v>1180.9000000000001</v>
      </c>
      <c r="G45" s="41">
        <v>1180.9000000000001</v>
      </c>
    </row>
    <row r="46" spans="1:7" ht="15.75" x14ac:dyDescent="0.25">
      <c r="A46" s="15">
        <v>5</v>
      </c>
      <c r="B46" s="4" t="s">
        <v>104</v>
      </c>
      <c r="C46" s="3"/>
      <c r="D46" s="10" t="s">
        <v>105</v>
      </c>
      <c r="E46" s="92">
        <f>SUM(E47:E52)</f>
        <v>720789.7</v>
      </c>
      <c r="F46" s="92">
        <f t="shared" ref="F46:G46" si="3">SUM(F47:F52)</f>
        <v>689102.8</v>
      </c>
      <c r="G46" s="92">
        <f t="shared" si="3"/>
        <v>694098.8</v>
      </c>
    </row>
    <row r="47" spans="1:7" x14ac:dyDescent="0.2">
      <c r="A47" s="67"/>
      <c r="B47" s="5" t="s">
        <v>104</v>
      </c>
      <c r="C47" s="5" t="s">
        <v>88</v>
      </c>
      <c r="D47" s="1" t="s">
        <v>107</v>
      </c>
      <c r="E47" s="39">
        <v>176161.4</v>
      </c>
      <c r="F47" s="39">
        <v>173777.3</v>
      </c>
      <c r="G47" s="39">
        <v>173777.3</v>
      </c>
    </row>
    <row r="48" spans="1:7" x14ac:dyDescent="0.2">
      <c r="A48" s="67"/>
      <c r="B48" s="5" t="s">
        <v>104</v>
      </c>
      <c r="C48" s="5" t="s">
        <v>89</v>
      </c>
      <c r="D48" s="1" t="s">
        <v>108</v>
      </c>
      <c r="E48" s="39">
        <v>444120.1</v>
      </c>
      <c r="F48" s="39">
        <v>422236.4</v>
      </c>
      <c r="G48" s="39">
        <v>427232.4</v>
      </c>
    </row>
    <row r="49" spans="1:7" x14ac:dyDescent="0.2">
      <c r="A49" s="67"/>
      <c r="B49" s="5" t="s">
        <v>104</v>
      </c>
      <c r="C49" s="5" t="s">
        <v>93</v>
      </c>
      <c r="D49" s="1" t="s">
        <v>156</v>
      </c>
      <c r="E49" s="39">
        <v>71738.600000000006</v>
      </c>
      <c r="F49" s="1">
        <v>69367.899999999994</v>
      </c>
      <c r="G49" s="1">
        <v>69367.899999999994</v>
      </c>
    </row>
    <row r="50" spans="1:7" ht="25.5" x14ac:dyDescent="0.2">
      <c r="A50" s="67"/>
      <c r="B50" s="5" t="s">
        <v>104</v>
      </c>
      <c r="C50" s="5" t="s">
        <v>95</v>
      </c>
      <c r="D50" s="99" t="s">
        <v>2</v>
      </c>
      <c r="E50" s="39">
        <v>193.2</v>
      </c>
      <c r="F50" s="39">
        <v>130</v>
      </c>
      <c r="G50" s="39">
        <v>130</v>
      </c>
    </row>
    <row r="51" spans="1:7" x14ac:dyDescent="0.2">
      <c r="A51" s="67"/>
      <c r="B51" s="5" t="s">
        <v>104</v>
      </c>
      <c r="C51" s="5" t="s">
        <v>104</v>
      </c>
      <c r="D51" s="1" t="s">
        <v>155</v>
      </c>
      <c r="E51" s="39">
        <v>12345</v>
      </c>
      <c r="F51" s="1">
        <v>7727.4</v>
      </c>
      <c r="G51" s="1">
        <v>7727.4</v>
      </c>
    </row>
    <row r="52" spans="1:7" x14ac:dyDescent="0.2">
      <c r="A52" s="67"/>
      <c r="B52" s="5" t="s">
        <v>104</v>
      </c>
      <c r="C52" s="5" t="s">
        <v>99</v>
      </c>
      <c r="D52" s="1" t="s">
        <v>109</v>
      </c>
      <c r="E52" s="39">
        <f>16181.4+50</f>
        <v>16231.4</v>
      </c>
      <c r="F52" s="39">
        <v>15863.8</v>
      </c>
      <c r="G52" s="39">
        <v>15863.8</v>
      </c>
    </row>
    <row r="53" spans="1:7" ht="15.75" x14ac:dyDescent="0.25">
      <c r="A53" s="15">
        <v>6</v>
      </c>
      <c r="B53" s="4" t="s">
        <v>101</v>
      </c>
      <c r="C53" s="3"/>
      <c r="D53" s="10" t="s">
        <v>20</v>
      </c>
      <c r="E53" s="92">
        <f>SUM(E54:E55)</f>
        <v>105711.1</v>
      </c>
      <c r="F53" s="92">
        <f t="shared" ref="F53:G53" si="4">SUM(F54:F55)</f>
        <v>82757.600000000006</v>
      </c>
      <c r="G53" s="92">
        <f t="shared" si="4"/>
        <v>83957.6</v>
      </c>
    </row>
    <row r="54" spans="1:7" x14ac:dyDescent="0.2">
      <c r="A54" s="67"/>
      <c r="B54" s="5" t="s">
        <v>101</v>
      </c>
      <c r="C54" s="5" t="s">
        <v>88</v>
      </c>
      <c r="D54" s="1" t="s">
        <v>106</v>
      </c>
      <c r="E54" s="39">
        <v>101472.5</v>
      </c>
      <c r="F54" s="1">
        <v>78729.100000000006</v>
      </c>
      <c r="G54" s="1">
        <v>79929.100000000006</v>
      </c>
    </row>
    <row r="55" spans="1:7" ht="25.5" x14ac:dyDescent="0.2">
      <c r="A55" s="67"/>
      <c r="B55" s="5" t="s">
        <v>101</v>
      </c>
      <c r="C55" s="5" t="s">
        <v>94</v>
      </c>
      <c r="D55" s="99" t="s">
        <v>7</v>
      </c>
      <c r="E55" s="39">
        <f>4138.6+100</f>
        <v>4238.6000000000004</v>
      </c>
      <c r="F55" s="39">
        <v>4028.5</v>
      </c>
      <c r="G55" s="39">
        <v>4028.5</v>
      </c>
    </row>
    <row r="56" spans="1:7" ht="15.75" x14ac:dyDescent="0.25">
      <c r="A56" s="15">
        <v>7</v>
      </c>
      <c r="B56" s="4" t="s">
        <v>110</v>
      </c>
      <c r="C56" s="3"/>
      <c r="D56" s="10" t="s">
        <v>111</v>
      </c>
      <c r="E56" s="92">
        <f>SUM(E57:E59)</f>
        <v>40301.5</v>
      </c>
      <c r="F56" s="92">
        <f t="shared" ref="F56:G56" si="5">SUM(F57:F59)</f>
        <v>22431.1</v>
      </c>
      <c r="G56" s="92">
        <f t="shared" si="5"/>
        <v>24288.2</v>
      </c>
    </row>
    <row r="57" spans="1:7" x14ac:dyDescent="0.2">
      <c r="A57" s="67"/>
      <c r="B57" s="5" t="s">
        <v>110</v>
      </c>
      <c r="C57" s="5" t="s">
        <v>88</v>
      </c>
      <c r="D57" s="1" t="s">
        <v>112</v>
      </c>
      <c r="E57" s="39">
        <v>2338.3000000000002</v>
      </c>
      <c r="F57" s="39">
        <v>2338.3000000000002</v>
      </c>
      <c r="G57" s="39">
        <v>2338.3000000000002</v>
      </c>
    </row>
    <row r="58" spans="1:7" x14ac:dyDescent="0.2">
      <c r="A58" s="67"/>
      <c r="B58" s="5" t="s">
        <v>110</v>
      </c>
      <c r="C58" s="5" t="s">
        <v>93</v>
      </c>
      <c r="D58" s="1" t="s">
        <v>116</v>
      </c>
      <c r="E58" s="39">
        <f>1660+100</f>
        <v>1760</v>
      </c>
      <c r="F58" s="39">
        <v>1610</v>
      </c>
      <c r="G58" s="39">
        <v>1610</v>
      </c>
    </row>
    <row r="59" spans="1:7" x14ac:dyDescent="0.2">
      <c r="A59" s="67"/>
      <c r="B59" s="5" t="s">
        <v>110</v>
      </c>
      <c r="C59" s="5" t="s">
        <v>94</v>
      </c>
      <c r="D59" s="1" t="s">
        <v>13</v>
      </c>
      <c r="E59" s="39">
        <v>36203.199999999997</v>
      </c>
      <c r="F59" s="39">
        <v>18482.8</v>
      </c>
      <c r="G59" s="39">
        <v>20339.900000000001</v>
      </c>
    </row>
    <row r="60" spans="1:7" ht="15.75" x14ac:dyDescent="0.25">
      <c r="A60" s="15">
        <v>8</v>
      </c>
      <c r="B60" s="4" t="s">
        <v>102</v>
      </c>
      <c r="C60" s="5"/>
      <c r="D60" s="10" t="s">
        <v>123</v>
      </c>
      <c r="E60" s="92">
        <f>SUM(E61:E61)</f>
        <v>6706.1</v>
      </c>
      <c r="F60" s="92">
        <f t="shared" ref="F60:G60" si="6">SUM(F61:F61)</f>
        <v>706.1</v>
      </c>
      <c r="G60" s="92">
        <f t="shared" si="6"/>
        <v>706.1</v>
      </c>
    </row>
    <row r="61" spans="1:7" x14ac:dyDescent="0.2">
      <c r="A61" s="67"/>
      <c r="B61" s="5" t="s">
        <v>102</v>
      </c>
      <c r="C61" s="5" t="s">
        <v>89</v>
      </c>
      <c r="D61" s="99" t="s">
        <v>6</v>
      </c>
      <c r="E61" s="39">
        <v>6706.1</v>
      </c>
      <c r="F61" s="39">
        <v>706.1</v>
      </c>
      <c r="G61" s="39">
        <v>706.1</v>
      </c>
    </row>
    <row r="62" spans="1:7" ht="15.75" x14ac:dyDescent="0.25">
      <c r="A62" s="15">
        <v>9</v>
      </c>
      <c r="B62" s="4" t="s">
        <v>122</v>
      </c>
      <c r="C62" s="5"/>
      <c r="D62" s="10" t="s">
        <v>8</v>
      </c>
      <c r="E62" s="92">
        <f>SUM(E63:E63)</f>
        <v>4480.7</v>
      </c>
      <c r="F62" s="92">
        <f t="shared" ref="F62:G62" si="7">SUM(F63:F63)</f>
        <v>3538</v>
      </c>
      <c r="G62" s="92">
        <f t="shared" si="7"/>
        <v>3538</v>
      </c>
    </row>
    <row r="63" spans="1:7" ht="25.5" x14ac:dyDescent="0.2">
      <c r="A63" s="67"/>
      <c r="B63" s="5" t="s">
        <v>122</v>
      </c>
      <c r="C63" s="5" t="s">
        <v>94</v>
      </c>
      <c r="D63" s="97" t="s">
        <v>14</v>
      </c>
      <c r="E63" s="39">
        <v>4480.7</v>
      </c>
      <c r="F63" s="39">
        <v>3538</v>
      </c>
      <c r="G63" s="39">
        <v>3538</v>
      </c>
    </row>
    <row r="64" spans="1:7" ht="31.5" x14ac:dyDescent="0.25">
      <c r="A64" s="15">
        <v>10</v>
      </c>
      <c r="B64" s="4" t="s">
        <v>9</v>
      </c>
      <c r="C64" s="5"/>
      <c r="D64" s="10" t="s">
        <v>600</v>
      </c>
      <c r="E64" s="92">
        <f>SUM(E65:E65)</f>
        <v>25</v>
      </c>
      <c r="F64" s="92">
        <f t="shared" ref="F64:G64" si="8">SUM(F65:F65)</f>
        <v>0</v>
      </c>
      <c r="G64" s="92">
        <f t="shared" si="8"/>
        <v>0</v>
      </c>
    </row>
    <row r="65" spans="1:7" ht="25.5" x14ac:dyDescent="0.2">
      <c r="A65" s="67"/>
      <c r="B65" s="146">
        <v>13</v>
      </c>
      <c r="C65" s="5" t="s">
        <v>88</v>
      </c>
      <c r="D65" s="99" t="s">
        <v>601</v>
      </c>
      <c r="E65" s="39">
        <v>25</v>
      </c>
      <c r="F65" s="39"/>
      <c r="G65" s="39"/>
    </row>
    <row r="67" spans="1:7" s="19" customFormat="1" x14ac:dyDescent="0.2">
      <c r="B67" s="19" t="s">
        <v>79</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7"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3"/>
  <sheetViews>
    <sheetView view="pageBreakPreview" topLeftCell="A67" zoomScale="60" zoomScaleNormal="100" workbookViewId="0">
      <selection activeCell="F3" sqref="F3"/>
    </sheetView>
  </sheetViews>
  <sheetFormatPr defaultColWidth="9.140625" defaultRowHeight="12.75" x14ac:dyDescent="0.2"/>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 min="10" max="10" width="10.140625" bestFit="1" customWidth="1"/>
  </cols>
  <sheetData>
    <row r="1" spans="1:8" x14ac:dyDescent="0.2">
      <c r="E1" s="85" t="s">
        <v>563</v>
      </c>
      <c r="F1" s="85"/>
      <c r="G1" s="86"/>
      <c r="H1" s="86"/>
    </row>
    <row r="2" spans="1:8" x14ac:dyDescent="0.2">
      <c r="E2" s="85" t="s">
        <v>565</v>
      </c>
      <c r="F2" s="85"/>
      <c r="G2" s="86"/>
      <c r="H2" s="86"/>
    </row>
    <row r="3" spans="1:8" x14ac:dyDescent="0.2">
      <c r="E3" s="85" t="s">
        <v>780</v>
      </c>
      <c r="F3" s="85"/>
      <c r="G3" s="86"/>
      <c r="H3" s="86"/>
    </row>
    <row r="4" spans="1:8" x14ac:dyDescent="0.2">
      <c r="E4" s="85" t="s">
        <v>621</v>
      </c>
      <c r="F4" s="85"/>
      <c r="G4" s="86"/>
      <c r="H4" s="86"/>
    </row>
    <row r="5" spans="1:8" x14ac:dyDescent="0.2">
      <c r="E5" s="85" t="s">
        <v>682</v>
      </c>
      <c r="F5" s="85"/>
      <c r="G5" s="86"/>
      <c r="H5" s="86"/>
    </row>
    <row r="6" spans="1:8" x14ac:dyDescent="0.2">
      <c r="E6" s="85" t="s">
        <v>143</v>
      </c>
      <c r="F6" s="85"/>
      <c r="G6" s="86"/>
      <c r="H6" s="86"/>
    </row>
    <row r="7" spans="1:8" x14ac:dyDescent="0.2">
      <c r="E7" s="85" t="s">
        <v>654</v>
      </c>
      <c r="F7" s="85"/>
      <c r="G7" s="86"/>
      <c r="H7" s="86"/>
    </row>
    <row r="8" spans="1:8" x14ac:dyDescent="0.2">
      <c r="E8" s="85"/>
      <c r="F8" s="85"/>
      <c r="G8" s="86"/>
      <c r="H8" s="86"/>
    </row>
    <row r="9" spans="1:8" x14ac:dyDescent="0.2">
      <c r="E9" s="85" t="s">
        <v>563</v>
      </c>
      <c r="F9" s="85"/>
      <c r="G9" s="86"/>
      <c r="H9" s="86"/>
    </row>
    <row r="10" spans="1:8" x14ac:dyDescent="0.2">
      <c r="E10" s="85" t="s">
        <v>370</v>
      </c>
      <c r="F10" s="85"/>
      <c r="G10" s="86"/>
      <c r="H10" s="86"/>
    </row>
    <row r="11" spans="1:8" x14ac:dyDescent="0.2">
      <c r="E11" s="85" t="s">
        <v>685</v>
      </c>
      <c r="F11" s="85"/>
      <c r="G11" s="86"/>
      <c r="H11" s="86"/>
    </row>
    <row r="12" spans="1:8" x14ac:dyDescent="0.2">
      <c r="E12" s="85" t="s">
        <v>143</v>
      </c>
      <c r="F12" s="85"/>
      <c r="G12" s="86"/>
      <c r="H12" s="86"/>
    </row>
    <row r="13" spans="1:8" x14ac:dyDescent="0.2">
      <c r="E13" s="85" t="s">
        <v>654</v>
      </c>
      <c r="F13" s="85"/>
      <c r="G13" s="86"/>
      <c r="H13" s="86"/>
    </row>
    <row r="14" spans="1:8" x14ac:dyDescent="0.2">
      <c r="E14" s="85"/>
      <c r="F14" s="85"/>
      <c r="G14" s="86"/>
      <c r="H14" s="86"/>
    </row>
    <row r="15" spans="1:8" x14ac:dyDescent="0.2">
      <c r="E15" s="85"/>
      <c r="F15" s="85"/>
      <c r="G15" s="86"/>
      <c r="H15" s="86"/>
    </row>
    <row r="16" spans="1:8" ht="60" customHeight="1" x14ac:dyDescent="0.2">
      <c r="A16" s="180" t="s">
        <v>657</v>
      </c>
      <c r="B16" s="200"/>
      <c r="C16" s="200"/>
      <c r="D16" s="200"/>
      <c r="E16" s="200"/>
      <c r="F16" s="200"/>
      <c r="G16" s="201"/>
      <c r="H16" s="201"/>
    </row>
    <row r="18" spans="1:8" x14ac:dyDescent="0.2">
      <c r="F18" s="6"/>
    </row>
    <row r="19" spans="1:8" x14ac:dyDescent="0.2">
      <c r="A19" s="184" t="s">
        <v>117</v>
      </c>
      <c r="B19" s="184" t="s">
        <v>118</v>
      </c>
      <c r="C19" s="184" t="s">
        <v>119</v>
      </c>
      <c r="D19" s="184" t="s">
        <v>113</v>
      </c>
      <c r="E19" s="184" t="s">
        <v>90</v>
      </c>
      <c r="F19" s="199" t="s">
        <v>27</v>
      </c>
      <c r="G19" s="179"/>
      <c r="H19" s="179"/>
    </row>
    <row r="20" spans="1:8" x14ac:dyDescent="0.2">
      <c r="A20" s="185"/>
      <c r="B20" s="185"/>
      <c r="C20" s="185"/>
      <c r="D20" s="185"/>
      <c r="E20" s="185"/>
      <c r="F20" s="190" t="s">
        <v>464</v>
      </c>
      <c r="G20" s="179" t="s">
        <v>140</v>
      </c>
      <c r="H20" s="179"/>
    </row>
    <row r="21" spans="1:8" x14ac:dyDescent="0.2">
      <c r="A21" s="186"/>
      <c r="B21" s="186"/>
      <c r="C21" s="186"/>
      <c r="D21" s="186"/>
      <c r="E21" s="186"/>
      <c r="F21" s="191"/>
      <c r="G21" s="1" t="s">
        <v>590</v>
      </c>
      <c r="H21" s="1" t="s">
        <v>655</v>
      </c>
    </row>
    <row r="22" spans="1:8" x14ac:dyDescent="0.2">
      <c r="A22" s="2">
        <v>1</v>
      </c>
      <c r="B22" s="2">
        <v>2</v>
      </c>
      <c r="C22" s="2">
        <v>3</v>
      </c>
      <c r="D22" s="2">
        <v>4</v>
      </c>
      <c r="E22" s="2">
        <v>5</v>
      </c>
      <c r="F22" s="2">
        <v>6</v>
      </c>
      <c r="G22" s="2">
        <v>7</v>
      </c>
      <c r="H22" s="2">
        <v>8</v>
      </c>
    </row>
    <row r="23" spans="1:8" ht="18" x14ac:dyDescent="0.25">
      <c r="A23" s="12"/>
      <c r="B23" s="12"/>
      <c r="C23" s="12"/>
      <c r="D23" s="12"/>
      <c r="E23" s="9" t="s">
        <v>92</v>
      </c>
      <c r="F23" s="59">
        <f>F24+F112+F155+F252+F394+F551+F596+F631+F643+F659</f>
        <v>1751889.0999999999</v>
      </c>
      <c r="G23" s="59">
        <f>G24+G112+G155+G252+G394+G551+G596+G631+G643+G659</f>
        <v>1169103.3000000003</v>
      </c>
      <c r="H23" s="59">
        <f>H24+H112+H155+H252+H394+H551+H596+H631+H643+H659</f>
        <v>1170882.0000000002</v>
      </c>
    </row>
    <row r="24" spans="1:8" ht="31.5" x14ac:dyDescent="0.25">
      <c r="A24" s="4" t="s">
        <v>88</v>
      </c>
      <c r="B24" s="11"/>
      <c r="C24" s="11"/>
      <c r="D24" s="11"/>
      <c r="E24" s="10" t="s">
        <v>91</v>
      </c>
      <c r="F24" s="92">
        <f>F25+F30+F37+F47+F52+F64+F69</f>
        <v>298254.29999999993</v>
      </c>
      <c r="G24" s="92">
        <f>G25+G30+G37+G47+G52+G64+G69</f>
        <v>126127.9</v>
      </c>
      <c r="H24" s="92">
        <f>H25+H30+H37+H47+H52+H64+H69</f>
        <v>126199.4</v>
      </c>
    </row>
    <row r="25" spans="1:8" ht="51" x14ac:dyDescent="0.2">
      <c r="A25" s="30" t="s">
        <v>88</v>
      </c>
      <c r="B25" s="30" t="s">
        <v>89</v>
      </c>
      <c r="C25" s="30"/>
      <c r="D25" s="30"/>
      <c r="E25" s="46" t="s">
        <v>17</v>
      </c>
      <c r="F25" s="40">
        <f t="shared" ref="F25:H28" si="0">F26</f>
        <v>2787.2000000000003</v>
      </c>
      <c r="G25" s="40">
        <f t="shared" si="0"/>
        <v>2266.3000000000002</v>
      </c>
      <c r="H25" s="40">
        <f t="shared" si="0"/>
        <v>2266.3000000000002</v>
      </c>
    </row>
    <row r="26" spans="1:8" ht="25.5" x14ac:dyDescent="0.2">
      <c r="A26" s="16" t="s">
        <v>88</v>
      </c>
      <c r="B26" s="16" t="s">
        <v>89</v>
      </c>
      <c r="C26" s="79">
        <v>9900000000</v>
      </c>
      <c r="D26" s="16"/>
      <c r="E26" s="55" t="s">
        <v>144</v>
      </c>
      <c r="F26" s="41">
        <f t="shared" si="0"/>
        <v>2787.2000000000003</v>
      </c>
      <c r="G26" s="41">
        <f t="shared" si="0"/>
        <v>2266.3000000000002</v>
      </c>
      <c r="H26" s="41">
        <f t="shared" si="0"/>
        <v>2266.3000000000002</v>
      </c>
    </row>
    <row r="27" spans="1:8" ht="38.25" x14ac:dyDescent="0.2">
      <c r="A27" s="16" t="s">
        <v>88</v>
      </c>
      <c r="B27" s="16" t="s">
        <v>89</v>
      </c>
      <c r="C27" s="79">
        <v>9980000000</v>
      </c>
      <c r="D27" s="16"/>
      <c r="E27" s="54" t="s">
        <v>29</v>
      </c>
      <c r="F27" s="41">
        <f t="shared" si="0"/>
        <v>2787.2000000000003</v>
      </c>
      <c r="G27" s="41">
        <f t="shared" si="0"/>
        <v>2266.3000000000002</v>
      </c>
      <c r="H27" s="41">
        <f t="shared" si="0"/>
        <v>2266.3000000000002</v>
      </c>
    </row>
    <row r="28" spans="1:8" x14ac:dyDescent="0.2">
      <c r="A28" s="16" t="s">
        <v>88</v>
      </c>
      <c r="B28" s="16" t="s">
        <v>89</v>
      </c>
      <c r="C28" s="79">
        <v>9980022100</v>
      </c>
      <c r="D28" s="16"/>
      <c r="E28" s="99" t="s">
        <v>114</v>
      </c>
      <c r="F28" s="39">
        <f t="shared" si="0"/>
        <v>2787.2000000000003</v>
      </c>
      <c r="G28" s="39">
        <f t="shared" si="0"/>
        <v>2266.3000000000002</v>
      </c>
      <c r="H28" s="39">
        <f t="shared" si="0"/>
        <v>2266.3000000000002</v>
      </c>
    </row>
    <row r="29" spans="1:8" ht="38.25" x14ac:dyDescent="0.2">
      <c r="A29" s="16" t="s">
        <v>88</v>
      </c>
      <c r="B29" s="16" t="s">
        <v>89</v>
      </c>
      <c r="C29" s="79">
        <v>9980022100</v>
      </c>
      <c r="D29" s="16" t="s">
        <v>62</v>
      </c>
      <c r="E29" s="99" t="s">
        <v>78</v>
      </c>
      <c r="F29" s="39">
        <f>2266.3+81.4+439.5</f>
        <v>2787.2000000000003</v>
      </c>
      <c r="G29" s="39">
        <v>2266.3000000000002</v>
      </c>
      <c r="H29" s="39">
        <v>2266.3000000000002</v>
      </c>
    </row>
    <row r="30" spans="1:8" ht="64.5" x14ac:dyDescent="0.25">
      <c r="A30" s="30" t="s">
        <v>88</v>
      </c>
      <c r="B30" s="30" t="s">
        <v>93</v>
      </c>
      <c r="C30" s="31"/>
      <c r="D30" s="31"/>
      <c r="E30" s="48" t="s">
        <v>127</v>
      </c>
      <c r="F30" s="43">
        <f>F31</f>
        <v>4542.8</v>
      </c>
      <c r="G30" s="43">
        <f>G31</f>
        <v>4420.3</v>
      </c>
      <c r="H30" s="43">
        <f>H31</f>
        <v>4420.3</v>
      </c>
    </row>
    <row r="31" spans="1:8" ht="38.25" x14ac:dyDescent="0.2">
      <c r="A31" s="16" t="s">
        <v>88</v>
      </c>
      <c r="B31" s="16" t="s">
        <v>93</v>
      </c>
      <c r="C31" s="79">
        <v>9990000000</v>
      </c>
      <c r="D31" s="16"/>
      <c r="E31" s="54" t="s">
        <v>28</v>
      </c>
      <c r="F31" s="41">
        <f>F32+F34</f>
        <v>4542.8</v>
      </c>
      <c r="G31" s="41">
        <f>G32+G34</f>
        <v>4420.3</v>
      </c>
      <c r="H31" s="41">
        <f>H32+H34</f>
        <v>4420.3</v>
      </c>
    </row>
    <row r="32" spans="1:8" x14ac:dyDescent="0.2">
      <c r="A32" s="16" t="s">
        <v>88</v>
      </c>
      <c r="B32" s="16" t="s">
        <v>93</v>
      </c>
      <c r="C32" s="79">
        <v>9990022400</v>
      </c>
      <c r="D32" s="16"/>
      <c r="E32" s="98" t="s">
        <v>139</v>
      </c>
      <c r="F32" s="41">
        <f>F33</f>
        <v>1714.7</v>
      </c>
      <c r="G32" s="41">
        <f>G33</f>
        <v>1652.8</v>
      </c>
      <c r="H32" s="41">
        <f>H33</f>
        <v>1652.8</v>
      </c>
    </row>
    <row r="33" spans="1:8" ht="38.25" x14ac:dyDescent="0.2">
      <c r="A33" s="16" t="s">
        <v>88</v>
      </c>
      <c r="B33" s="16" t="s">
        <v>93</v>
      </c>
      <c r="C33" s="79">
        <v>9990022400</v>
      </c>
      <c r="D33" s="16" t="s">
        <v>62</v>
      </c>
      <c r="E33" s="55" t="s">
        <v>63</v>
      </c>
      <c r="F33" s="39">
        <f>1652.8+61.9</f>
        <v>1714.7</v>
      </c>
      <c r="G33" s="39">
        <v>1652.8</v>
      </c>
      <c r="H33" s="39">
        <v>1652.8</v>
      </c>
    </row>
    <row r="34" spans="1:8" ht="23.25" customHeight="1" x14ac:dyDescent="0.2">
      <c r="A34" s="16" t="s">
        <v>88</v>
      </c>
      <c r="B34" s="16" t="s">
        <v>93</v>
      </c>
      <c r="C34" s="79">
        <v>9990022500</v>
      </c>
      <c r="D34" s="21"/>
      <c r="E34" s="99" t="s">
        <v>589</v>
      </c>
      <c r="F34" s="41">
        <f>SUM(F35:F36)</f>
        <v>2828.1</v>
      </c>
      <c r="G34" s="41">
        <f>SUM(G35:G36)</f>
        <v>2767.5</v>
      </c>
      <c r="H34" s="41">
        <f>SUM(H35:H36)</f>
        <v>2767.5</v>
      </c>
    </row>
    <row r="35" spans="1:8" ht="38.25" x14ac:dyDescent="0.2">
      <c r="A35" s="16" t="s">
        <v>88</v>
      </c>
      <c r="B35" s="16" t="s">
        <v>93</v>
      </c>
      <c r="C35" s="79">
        <v>9990022500</v>
      </c>
      <c r="D35" s="16" t="s">
        <v>62</v>
      </c>
      <c r="E35" s="55" t="s">
        <v>63</v>
      </c>
      <c r="F35" s="39">
        <f>2650.5+60.6</f>
        <v>2711.1</v>
      </c>
      <c r="G35" s="39">
        <v>2650.5</v>
      </c>
      <c r="H35" s="39">
        <v>2650.5</v>
      </c>
    </row>
    <row r="36" spans="1:8" ht="38.25" x14ac:dyDescent="0.2">
      <c r="A36" s="16" t="s">
        <v>88</v>
      </c>
      <c r="B36" s="16" t="s">
        <v>93</v>
      </c>
      <c r="C36" s="79">
        <v>9990022500</v>
      </c>
      <c r="D36" s="82" t="s">
        <v>211</v>
      </c>
      <c r="E36" s="98" t="s">
        <v>212</v>
      </c>
      <c r="F36" s="39">
        <f>117+150-150</f>
        <v>117</v>
      </c>
      <c r="G36" s="39">
        <v>117</v>
      </c>
      <c r="H36" s="39">
        <v>117</v>
      </c>
    </row>
    <row r="37" spans="1:8" s="32" customFormat="1" ht="76.5" x14ac:dyDescent="0.2">
      <c r="A37" s="30" t="s">
        <v>88</v>
      </c>
      <c r="B37" s="30" t="s">
        <v>94</v>
      </c>
      <c r="C37" s="30"/>
      <c r="D37" s="30"/>
      <c r="E37" s="46" t="s">
        <v>124</v>
      </c>
      <c r="F37" s="40">
        <f>F38</f>
        <v>58005.099999999984</v>
      </c>
      <c r="G37" s="40">
        <f>G38</f>
        <v>56289.899999999994</v>
      </c>
      <c r="H37" s="40">
        <f>H38</f>
        <v>56293.7</v>
      </c>
    </row>
    <row r="38" spans="1:8" ht="25.5" x14ac:dyDescent="0.2">
      <c r="A38" s="16" t="s">
        <v>88</v>
      </c>
      <c r="B38" s="16" t="s">
        <v>94</v>
      </c>
      <c r="C38" s="79">
        <v>9900000000</v>
      </c>
      <c r="D38" s="16"/>
      <c r="E38" s="55" t="s">
        <v>144</v>
      </c>
      <c r="F38" s="39">
        <f>F39+F42</f>
        <v>58005.099999999984</v>
      </c>
      <c r="G38" s="39">
        <f>G39+G42</f>
        <v>56289.899999999994</v>
      </c>
      <c r="H38" s="39">
        <f>H39+H42</f>
        <v>56293.7</v>
      </c>
    </row>
    <row r="39" spans="1:8" ht="25.5" x14ac:dyDescent="0.2">
      <c r="A39" s="16" t="s">
        <v>88</v>
      </c>
      <c r="B39" s="16" t="s">
        <v>94</v>
      </c>
      <c r="C39" s="79">
        <v>9930000000</v>
      </c>
      <c r="D39" s="16"/>
      <c r="E39" s="22" t="s">
        <v>40</v>
      </c>
      <c r="F39" s="39">
        <f>F40</f>
        <v>478.1</v>
      </c>
      <c r="G39" s="39">
        <f>G40</f>
        <v>481.7</v>
      </c>
      <c r="H39" s="39">
        <f>H40</f>
        <v>485.5</v>
      </c>
    </row>
    <row r="40" spans="1:8" ht="62.25" customHeight="1" x14ac:dyDescent="0.2">
      <c r="A40" s="16" t="s">
        <v>88</v>
      </c>
      <c r="B40" s="16" t="s">
        <v>94</v>
      </c>
      <c r="C40" s="79">
        <v>9930010510</v>
      </c>
      <c r="D40" s="16"/>
      <c r="E40" s="22" t="s">
        <v>15</v>
      </c>
      <c r="F40" s="39">
        <f>F41</f>
        <v>478.1</v>
      </c>
      <c r="G40" s="39">
        <f t="shared" ref="G40:H40" si="1">G41</f>
        <v>481.7</v>
      </c>
      <c r="H40" s="39">
        <f t="shared" si="1"/>
        <v>485.5</v>
      </c>
    </row>
    <row r="41" spans="1:8" ht="38.25" x14ac:dyDescent="0.2">
      <c r="A41" s="16" t="s">
        <v>88</v>
      </c>
      <c r="B41" s="16" t="s">
        <v>94</v>
      </c>
      <c r="C41" s="79">
        <v>9930010510</v>
      </c>
      <c r="D41" s="16" t="s">
        <v>62</v>
      </c>
      <c r="E41" s="102" t="s">
        <v>63</v>
      </c>
      <c r="F41" s="39">
        <v>478.1</v>
      </c>
      <c r="G41" s="39">
        <v>481.7</v>
      </c>
      <c r="H41" s="39">
        <v>485.5</v>
      </c>
    </row>
    <row r="42" spans="1:8" ht="38.25" x14ac:dyDescent="0.2">
      <c r="A42" s="16" t="s">
        <v>88</v>
      </c>
      <c r="B42" s="16" t="s">
        <v>94</v>
      </c>
      <c r="C42" s="79">
        <v>9980000000</v>
      </c>
      <c r="D42" s="16"/>
      <c r="E42" s="54" t="s">
        <v>29</v>
      </c>
      <c r="F42" s="39">
        <f>F43</f>
        <v>57526.999999999985</v>
      </c>
      <c r="G42" s="39">
        <f>G43</f>
        <v>55808.2</v>
      </c>
      <c r="H42" s="39">
        <f>H43</f>
        <v>55808.2</v>
      </c>
    </row>
    <row r="43" spans="1:8" x14ac:dyDescent="0.2">
      <c r="A43" s="16" t="s">
        <v>88</v>
      </c>
      <c r="B43" s="16" t="s">
        <v>94</v>
      </c>
      <c r="C43" s="138">
        <v>9980022200</v>
      </c>
      <c r="D43" s="21"/>
      <c r="E43" s="99" t="s">
        <v>115</v>
      </c>
      <c r="F43" s="39">
        <f>SUM(F44:F46)</f>
        <v>57526.999999999985</v>
      </c>
      <c r="G43" s="39">
        <f t="shared" ref="G43:H43" si="2">SUM(G44:G46)</f>
        <v>55808.2</v>
      </c>
      <c r="H43" s="39">
        <f t="shared" si="2"/>
        <v>55808.2</v>
      </c>
    </row>
    <row r="44" spans="1:8" ht="38.25" x14ac:dyDescent="0.2">
      <c r="A44" s="16" t="s">
        <v>88</v>
      </c>
      <c r="B44" s="16" t="s">
        <v>94</v>
      </c>
      <c r="C44" s="138">
        <v>9980022200</v>
      </c>
      <c r="D44" s="16" t="s">
        <v>62</v>
      </c>
      <c r="E44" s="55" t="s">
        <v>63</v>
      </c>
      <c r="F44" s="39">
        <f>53934.1+1687.7-27.8-40-25.4</f>
        <v>55528.599999999991</v>
      </c>
      <c r="G44" s="39">
        <v>53934.1</v>
      </c>
      <c r="H44" s="39">
        <v>53934.1</v>
      </c>
    </row>
    <row r="45" spans="1:8" ht="38.25" x14ac:dyDescent="0.2">
      <c r="A45" s="16" t="s">
        <v>88</v>
      </c>
      <c r="B45" s="16" t="s">
        <v>94</v>
      </c>
      <c r="C45" s="138">
        <v>9980022200</v>
      </c>
      <c r="D45" s="82" t="s">
        <v>211</v>
      </c>
      <c r="E45" s="98" t="s">
        <v>212</v>
      </c>
      <c r="F45" s="39">
        <f>1874.1+71.1</f>
        <v>1945.1999999999998</v>
      </c>
      <c r="G45" s="39">
        <v>1874.1</v>
      </c>
      <c r="H45" s="39">
        <v>1874.1</v>
      </c>
    </row>
    <row r="46" spans="1:8" ht="38.25" x14ac:dyDescent="0.2">
      <c r="A46" s="16" t="s">
        <v>88</v>
      </c>
      <c r="B46" s="16" t="s">
        <v>94</v>
      </c>
      <c r="C46" s="138">
        <v>9980022200</v>
      </c>
      <c r="D46" s="82" t="s">
        <v>260</v>
      </c>
      <c r="E46" s="98" t="s">
        <v>249</v>
      </c>
      <c r="F46" s="39">
        <f>27.8+25.4</f>
        <v>53.2</v>
      </c>
      <c r="G46" s="39">
        <v>0</v>
      </c>
      <c r="H46" s="39">
        <v>0</v>
      </c>
    </row>
    <row r="47" spans="1:8" ht="14.25" x14ac:dyDescent="0.2">
      <c r="A47" s="35" t="s">
        <v>88</v>
      </c>
      <c r="B47" s="35" t="s">
        <v>95</v>
      </c>
      <c r="C47" s="35"/>
      <c r="D47" s="35"/>
      <c r="E47" s="46" t="s">
        <v>288</v>
      </c>
      <c r="F47" s="42">
        <f>SUM(F48)</f>
        <v>8.3000000000000007</v>
      </c>
      <c r="G47" s="42">
        <f>SUM(G48)</f>
        <v>8.6</v>
      </c>
      <c r="H47" s="42">
        <f>SUM(H48)</f>
        <v>98</v>
      </c>
    </row>
    <row r="48" spans="1:8" ht="25.5" x14ac:dyDescent="0.2">
      <c r="A48" s="16" t="s">
        <v>88</v>
      </c>
      <c r="B48" s="82" t="s">
        <v>95</v>
      </c>
      <c r="C48" s="79">
        <v>9900000000</v>
      </c>
      <c r="D48" s="16"/>
      <c r="E48" s="55" t="s">
        <v>145</v>
      </c>
      <c r="F48" s="39">
        <f t="shared" ref="F48:H50" si="3">F49</f>
        <v>8.3000000000000007</v>
      </c>
      <c r="G48" s="39">
        <f t="shared" si="3"/>
        <v>8.6</v>
      </c>
      <c r="H48" s="39">
        <f t="shared" si="3"/>
        <v>98</v>
      </c>
    </row>
    <row r="49" spans="1:8" ht="25.5" x14ac:dyDescent="0.2">
      <c r="A49" s="16" t="s">
        <v>88</v>
      </c>
      <c r="B49" s="82" t="s">
        <v>95</v>
      </c>
      <c r="C49" s="79">
        <v>9930000000</v>
      </c>
      <c r="D49" s="16"/>
      <c r="E49" s="22" t="s">
        <v>40</v>
      </c>
      <c r="F49" s="39">
        <f t="shared" si="3"/>
        <v>8.3000000000000007</v>
      </c>
      <c r="G49" s="39">
        <f t="shared" si="3"/>
        <v>8.6</v>
      </c>
      <c r="H49" s="39">
        <f t="shared" si="3"/>
        <v>98</v>
      </c>
    </row>
    <row r="50" spans="1:8" ht="63.75" x14ac:dyDescent="0.2">
      <c r="A50" s="16" t="s">
        <v>88</v>
      </c>
      <c r="B50" s="82" t="s">
        <v>95</v>
      </c>
      <c r="C50" s="79">
        <v>9930051200</v>
      </c>
      <c r="D50" s="16"/>
      <c r="E50" s="54" t="s">
        <v>281</v>
      </c>
      <c r="F50" s="107">
        <f t="shared" si="3"/>
        <v>8.3000000000000007</v>
      </c>
      <c r="G50" s="39">
        <f t="shared" si="3"/>
        <v>8.6</v>
      </c>
      <c r="H50" s="39">
        <f t="shared" si="3"/>
        <v>98</v>
      </c>
    </row>
    <row r="51" spans="1:8" ht="38.25" x14ac:dyDescent="0.2">
      <c r="A51" s="16" t="s">
        <v>88</v>
      </c>
      <c r="B51" s="82" t="s">
        <v>95</v>
      </c>
      <c r="C51" s="79">
        <v>9930051200</v>
      </c>
      <c r="D51" s="82" t="s">
        <v>211</v>
      </c>
      <c r="E51" s="98" t="s">
        <v>212</v>
      </c>
      <c r="F51" s="107">
        <v>8.3000000000000007</v>
      </c>
      <c r="G51" s="107">
        <v>8.6</v>
      </c>
      <c r="H51" s="107">
        <v>98</v>
      </c>
    </row>
    <row r="52" spans="1:8" s="37" customFormat="1" ht="63.75" x14ac:dyDescent="0.2">
      <c r="A52" s="35" t="s">
        <v>88</v>
      </c>
      <c r="B52" s="35" t="s">
        <v>96</v>
      </c>
      <c r="C52" s="35"/>
      <c r="D52" s="35"/>
      <c r="E52" s="46" t="s">
        <v>125</v>
      </c>
      <c r="F52" s="42">
        <f>SUM(F53)</f>
        <v>14239.999999999998</v>
      </c>
      <c r="G52" s="42">
        <f>SUM(G53)</f>
        <v>13696.9</v>
      </c>
      <c r="H52" s="42">
        <f>SUM(H53)</f>
        <v>13696.9</v>
      </c>
    </row>
    <row r="53" spans="1:8" ht="25.5" x14ac:dyDescent="0.2">
      <c r="A53" s="16" t="s">
        <v>88</v>
      </c>
      <c r="B53" s="16" t="s">
        <v>96</v>
      </c>
      <c r="C53" s="79">
        <v>9900000000</v>
      </c>
      <c r="D53" s="16"/>
      <c r="E53" s="55" t="s">
        <v>144</v>
      </c>
      <c r="F53" s="39">
        <f>F54+F58</f>
        <v>14239.999999999998</v>
      </c>
      <c r="G53" s="39">
        <f>G54+G58</f>
        <v>13696.9</v>
      </c>
      <c r="H53" s="39">
        <f>H54+H58</f>
        <v>13696.9</v>
      </c>
    </row>
    <row r="54" spans="1:8" ht="38.25" x14ac:dyDescent="0.2">
      <c r="A54" s="16" t="s">
        <v>88</v>
      </c>
      <c r="B54" s="16" t="s">
        <v>96</v>
      </c>
      <c r="C54" s="79">
        <v>9980000000</v>
      </c>
      <c r="D54" s="16"/>
      <c r="E54" s="54" t="s">
        <v>29</v>
      </c>
      <c r="F54" s="39">
        <f>F55</f>
        <v>12164.499999999998</v>
      </c>
      <c r="G54" s="39">
        <f>G55</f>
        <v>11732.699999999999</v>
      </c>
      <c r="H54" s="39">
        <f>H55</f>
        <v>11732.699999999999</v>
      </c>
    </row>
    <row r="55" spans="1:8" x14ac:dyDescent="0.2">
      <c r="A55" s="16" t="s">
        <v>88</v>
      </c>
      <c r="B55" s="16" t="s">
        <v>96</v>
      </c>
      <c r="C55" s="138">
        <v>9980022200</v>
      </c>
      <c r="D55" s="21"/>
      <c r="E55" s="99" t="s">
        <v>115</v>
      </c>
      <c r="F55" s="39">
        <f>SUM(F56:F57)</f>
        <v>12164.499999999998</v>
      </c>
      <c r="G55" s="39">
        <f>SUM(G56:G57)</f>
        <v>11732.699999999999</v>
      </c>
      <c r="H55" s="39">
        <f>SUM(H56:H57)</f>
        <v>11732.699999999999</v>
      </c>
    </row>
    <row r="56" spans="1:8" ht="38.25" x14ac:dyDescent="0.2">
      <c r="A56" s="16" t="s">
        <v>88</v>
      </c>
      <c r="B56" s="16" t="s">
        <v>96</v>
      </c>
      <c r="C56" s="138">
        <v>9980022200</v>
      </c>
      <c r="D56" s="16" t="s">
        <v>62</v>
      </c>
      <c r="E56" s="102" t="s">
        <v>63</v>
      </c>
      <c r="F56" s="39">
        <f>11196.4+431.8</f>
        <v>11628.199999999999</v>
      </c>
      <c r="G56" s="39">
        <v>11196.4</v>
      </c>
      <c r="H56" s="39">
        <v>11196.4</v>
      </c>
    </row>
    <row r="57" spans="1:8" ht="38.25" x14ac:dyDescent="0.2">
      <c r="A57" s="16" t="s">
        <v>88</v>
      </c>
      <c r="B57" s="16" t="s">
        <v>96</v>
      </c>
      <c r="C57" s="138">
        <v>9980022200</v>
      </c>
      <c r="D57" s="82" t="s">
        <v>211</v>
      </c>
      <c r="E57" s="98" t="s">
        <v>212</v>
      </c>
      <c r="F57" s="39">
        <v>536.29999999999995</v>
      </c>
      <c r="G57" s="39">
        <v>536.29999999999995</v>
      </c>
      <c r="H57" s="39">
        <v>536.29999999999995</v>
      </c>
    </row>
    <row r="58" spans="1:8" ht="38.25" x14ac:dyDescent="0.2">
      <c r="A58" s="16" t="s">
        <v>88</v>
      </c>
      <c r="B58" s="16" t="s">
        <v>96</v>
      </c>
      <c r="C58" s="79">
        <v>9990000000</v>
      </c>
      <c r="D58" s="16"/>
      <c r="E58" s="54" t="s">
        <v>28</v>
      </c>
      <c r="F58" s="39">
        <f>+F59+F61</f>
        <v>2075.5</v>
      </c>
      <c r="G58" s="39">
        <f t="shared" ref="G58:H58" si="4">+G59+G61</f>
        <v>1964.2</v>
      </c>
      <c r="H58" s="39">
        <f t="shared" si="4"/>
        <v>1964.2</v>
      </c>
    </row>
    <row r="59" spans="1:8" ht="25.5" x14ac:dyDescent="0.2">
      <c r="A59" s="16" t="s">
        <v>88</v>
      </c>
      <c r="B59" s="16" t="s">
        <v>96</v>
      </c>
      <c r="C59" s="79">
        <v>9990022350</v>
      </c>
      <c r="D59" s="16"/>
      <c r="E59" s="98" t="s">
        <v>662</v>
      </c>
      <c r="F59" s="39">
        <f>F60</f>
        <v>1347.8000000000002</v>
      </c>
      <c r="G59" s="39">
        <f t="shared" ref="G59:H59" si="5">G60</f>
        <v>1291.4000000000001</v>
      </c>
      <c r="H59" s="39">
        <f t="shared" si="5"/>
        <v>1291.4000000000001</v>
      </c>
    </row>
    <row r="60" spans="1:8" ht="38.25" x14ac:dyDescent="0.2">
      <c r="A60" s="16" t="s">
        <v>88</v>
      </c>
      <c r="B60" s="16" t="s">
        <v>96</v>
      </c>
      <c r="C60" s="79">
        <v>9990022350</v>
      </c>
      <c r="D60" s="16" t="s">
        <v>62</v>
      </c>
      <c r="E60" s="99" t="s">
        <v>78</v>
      </c>
      <c r="F60" s="39">
        <f>1291.4+56.4</f>
        <v>1347.8000000000002</v>
      </c>
      <c r="G60" s="39">
        <v>1291.4000000000001</v>
      </c>
      <c r="H60" s="39">
        <v>1291.4000000000001</v>
      </c>
    </row>
    <row r="61" spans="1:8" ht="25.5" x14ac:dyDescent="0.2">
      <c r="A61" s="16" t="s">
        <v>88</v>
      </c>
      <c r="B61" s="16" t="s">
        <v>96</v>
      </c>
      <c r="C61" s="79">
        <v>9990022300</v>
      </c>
      <c r="D61" s="21"/>
      <c r="E61" s="99" t="s">
        <v>200</v>
      </c>
      <c r="F61" s="41">
        <f>F62+F63</f>
        <v>727.69999999999993</v>
      </c>
      <c r="G61" s="41">
        <f>G62+G63</f>
        <v>672.8</v>
      </c>
      <c r="H61" s="41">
        <f>H62+H63</f>
        <v>672.8</v>
      </c>
    </row>
    <row r="62" spans="1:8" ht="38.25" x14ac:dyDescent="0.2">
      <c r="A62" s="16" t="s">
        <v>88</v>
      </c>
      <c r="B62" s="16" t="s">
        <v>96</v>
      </c>
      <c r="C62" s="79">
        <v>9990022300</v>
      </c>
      <c r="D62" s="16" t="s">
        <v>62</v>
      </c>
      <c r="E62" s="99" t="s">
        <v>78</v>
      </c>
      <c r="F62" s="39">
        <f>694.3+30.4-15.8</f>
        <v>708.9</v>
      </c>
      <c r="G62" s="39">
        <v>669.3</v>
      </c>
      <c r="H62" s="39">
        <v>669.3</v>
      </c>
    </row>
    <row r="63" spans="1:8" ht="38.25" x14ac:dyDescent="0.2">
      <c r="A63" s="16" t="s">
        <v>88</v>
      </c>
      <c r="B63" s="16" t="s">
        <v>96</v>
      </c>
      <c r="C63" s="79">
        <v>9990022300</v>
      </c>
      <c r="D63" s="82" t="s">
        <v>211</v>
      </c>
      <c r="E63" s="98" t="s">
        <v>212</v>
      </c>
      <c r="F63" s="39">
        <f>50.1-47.1+15.8</f>
        <v>18.8</v>
      </c>
      <c r="G63" s="39">
        <v>3.5</v>
      </c>
      <c r="H63" s="39">
        <v>3.5</v>
      </c>
    </row>
    <row r="64" spans="1:8" ht="14.25" x14ac:dyDescent="0.2">
      <c r="A64" s="35" t="s">
        <v>88</v>
      </c>
      <c r="B64" s="35" t="s">
        <v>102</v>
      </c>
      <c r="C64" s="35"/>
      <c r="D64" s="35"/>
      <c r="E64" s="27" t="s">
        <v>5</v>
      </c>
      <c r="F64" s="42">
        <f t="shared" ref="F64:H67" si="6">F65</f>
        <v>246.3</v>
      </c>
      <c r="G64" s="42">
        <f t="shared" si="6"/>
        <v>500</v>
      </c>
      <c r="H64" s="42">
        <f t="shared" si="6"/>
        <v>500</v>
      </c>
    </row>
    <row r="65" spans="1:8" ht="25.5" x14ac:dyDescent="0.2">
      <c r="A65" s="16" t="s">
        <v>88</v>
      </c>
      <c r="B65" s="16" t="s">
        <v>102</v>
      </c>
      <c r="C65" s="79">
        <v>9900000000</v>
      </c>
      <c r="D65" s="16"/>
      <c r="E65" s="55" t="s">
        <v>144</v>
      </c>
      <c r="F65" s="94">
        <f t="shared" si="6"/>
        <v>246.3</v>
      </c>
      <c r="G65" s="94">
        <f t="shared" si="6"/>
        <v>500</v>
      </c>
      <c r="H65" s="94">
        <f t="shared" si="6"/>
        <v>500</v>
      </c>
    </row>
    <row r="66" spans="1:8" ht="14.25" x14ac:dyDescent="0.2">
      <c r="A66" s="16" t="s">
        <v>88</v>
      </c>
      <c r="B66" s="16" t="s">
        <v>102</v>
      </c>
      <c r="C66" s="79">
        <v>9920000000</v>
      </c>
      <c r="D66" s="35"/>
      <c r="E66" s="126" t="s">
        <v>5</v>
      </c>
      <c r="F66" s="94">
        <f t="shared" si="6"/>
        <v>246.3</v>
      </c>
      <c r="G66" s="94">
        <f t="shared" si="6"/>
        <v>500</v>
      </c>
      <c r="H66" s="94">
        <f t="shared" si="6"/>
        <v>500</v>
      </c>
    </row>
    <row r="67" spans="1:8" ht="25.5" x14ac:dyDescent="0.2">
      <c r="A67" s="16" t="s">
        <v>88</v>
      </c>
      <c r="B67" s="16" t="s">
        <v>102</v>
      </c>
      <c r="C67" s="79">
        <v>9920026100</v>
      </c>
      <c r="D67" s="21"/>
      <c r="E67" s="99" t="s">
        <v>11</v>
      </c>
      <c r="F67" s="39">
        <f t="shared" si="6"/>
        <v>246.3</v>
      </c>
      <c r="G67" s="39">
        <f t="shared" si="6"/>
        <v>500</v>
      </c>
      <c r="H67" s="39">
        <f t="shared" si="6"/>
        <v>500</v>
      </c>
    </row>
    <row r="68" spans="1:8" x14ac:dyDescent="0.2">
      <c r="A68" s="16" t="s">
        <v>88</v>
      </c>
      <c r="B68" s="16" t="s">
        <v>102</v>
      </c>
      <c r="C68" s="79">
        <v>9920026100</v>
      </c>
      <c r="D68" s="16" t="s">
        <v>84</v>
      </c>
      <c r="E68" s="98" t="s">
        <v>85</v>
      </c>
      <c r="F68" s="39">
        <f>500-100-153.7</f>
        <v>246.3</v>
      </c>
      <c r="G68" s="39">
        <v>500</v>
      </c>
      <c r="H68" s="39">
        <v>500</v>
      </c>
    </row>
    <row r="69" spans="1:8" s="32" customFormat="1" ht="14.25" x14ac:dyDescent="0.2">
      <c r="A69" s="30" t="s">
        <v>88</v>
      </c>
      <c r="B69" s="30" t="s">
        <v>9</v>
      </c>
      <c r="C69" s="33"/>
      <c r="D69" s="33"/>
      <c r="E69" s="45" t="s">
        <v>97</v>
      </c>
      <c r="F69" s="40">
        <f>F70+F93</f>
        <v>218424.59999999998</v>
      </c>
      <c r="G69" s="40">
        <f>G70+G93</f>
        <v>48945.9</v>
      </c>
      <c r="H69" s="40">
        <f>H70+H93</f>
        <v>48924.200000000004</v>
      </c>
    </row>
    <row r="70" spans="1:8" s="32" customFormat="1" ht="89.25" x14ac:dyDescent="0.2">
      <c r="A70" s="16" t="s">
        <v>88</v>
      </c>
      <c r="B70" s="16" t="s">
        <v>9</v>
      </c>
      <c r="C70" s="73" t="s">
        <v>69</v>
      </c>
      <c r="D70" s="16"/>
      <c r="E70" s="142" t="s">
        <v>576</v>
      </c>
      <c r="F70" s="96">
        <f>F71</f>
        <v>165091.49999999997</v>
      </c>
      <c r="G70" s="96">
        <f>G71</f>
        <v>7940</v>
      </c>
      <c r="H70" s="96">
        <f>H71</f>
        <v>7916.2</v>
      </c>
    </row>
    <row r="71" spans="1:8" s="32" customFormat="1" ht="38.25" x14ac:dyDescent="0.2">
      <c r="A71" s="16" t="s">
        <v>88</v>
      </c>
      <c r="B71" s="16" t="s">
        <v>9</v>
      </c>
      <c r="C71" s="52" t="s">
        <v>70</v>
      </c>
      <c r="D71" s="16"/>
      <c r="E71" s="48" t="s">
        <v>157</v>
      </c>
      <c r="F71" s="93">
        <f>F72+F74+F76+F78+F81+F83+F85+F87+F89+F91</f>
        <v>165091.49999999997</v>
      </c>
      <c r="G71" s="93">
        <f t="shared" ref="G71:H71" si="7">G72+G74+G76+G78+G81+G83+G85+G87+G89+G91</f>
        <v>7940</v>
      </c>
      <c r="H71" s="93">
        <f t="shared" si="7"/>
        <v>7916.2</v>
      </c>
    </row>
    <row r="72" spans="1:8" s="32" customFormat="1" ht="38.25" x14ac:dyDescent="0.2">
      <c r="A72" s="16" t="s">
        <v>88</v>
      </c>
      <c r="B72" s="16" t="s">
        <v>9</v>
      </c>
      <c r="C72" s="82" t="s">
        <v>457</v>
      </c>
      <c r="D72" s="16"/>
      <c r="E72" s="97" t="s">
        <v>158</v>
      </c>
      <c r="F72" s="41">
        <f>F73</f>
        <v>250</v>
      </c>
      <c r="G72" s="41">
        <f>G73</f>
        <v>250</v>
      </c>
      <c r="H72" s="41">
        <f>H73</f>
        <v>250</v>
      </c>
    </row>
    <row r="73" spans="1:8" s="32" customFormat="1" ht="38.25" x14ac:dyDescent="0.2">
      <c r="A73" s="16" t="s">
        <v>88</v>
      </c>
      <c r="B73" s="16" t="s">
        <v>9</v>
      </c>
      <c r="C73" s="82" t="s">
        <v>457</v>
      </c>
      <c r="D73" s="82" t="s">
        <v>211</v>
      </c>
      <c r="E73" s="98" t="s">
        <v>212</v>
      </c>
      <c r="F73" s="41">
        <v>250</v>
      </c>
      <c r="G73" s="41">
        <v>250</v>
      </c>
      <c r="H73" s="41">
        <v>250</v>
      </c>
    </row>
    <row r="74" spans="1:8" s="32" customFormat="1" ht="51" x14ac:dyDescent="0.2">
      <c r="A74" s="16" t="s">
        <v>88</v>
      </c>
      <c r="B74" s="16" t="s">
        <v>9</v>
      </c>
      <c r="C74" s="135" t="s">
        <v>458</v>
      </c>
      <c r="D74" s="16"/>
      <c r="E74" s="97" t="s">
        <v>159</v>
      </c>
      <c r="F74" s="41">
        <f>F75</f>
        <v>100</v>
      </c>
      <c r="G74" s="41">
        <f>G75</f>
        <v>100</v>
      </c>
      <c r="H74" s="41">
        <f>H75</f>
        <v>100</v>
      </c>
    </row>
    <row r="75" spans="1:8" s="32" customFormat="1" ht="38.25" x14ac:dyDescent="0.2">
      <c r="A75" s="16" t="s">
        <v>88</v>
      </c>
      <c r="B75" s="16" t="s">
        <v>9</v>
      </c>
      <c r="C75" s="135" t="s">
        <v>458</v>
      </c>
      <c r="D75" s="82" t="s">
        <v>211</v>
      </c>
      <c r="E75" s="98" t="s">
        <v>212</v>
      </c>
      <c r="F75" s="41">
        <v>100</v>
      </c>
      <c r="G75" s="41">
        <v>100</v>
      </c>
      <c r="H75" s="41">
        <v>100</v>
      </c>
    </row>
    <row r="76" spans="1:8" s="32" customFormat="1" ht="76.5" x14ac:dyDescent="0.2">
      <c r="A76" s="16" t="s">
        <v>88</v>
      </c>
      <c r="B76" s="16" t="s">
        <v>9</v>
      </c>
      <c r="C76" s="135" t="s">
        <v>459</v>
      </c>
      <c r="D76" s="16"/>
      <c r="E76" s="97" t="s">
        <v>160</v>
      </c>
      <c r="F76" s="41">
        <f>F77</f>
        <v>173.5</v>
      </c>
      <c r="G76" s="41">
        <f>G77</f>
        <v>100</v>
      </c>
      <c r="H76" s="41">
        <f>H77</f>
        <v>100</v>
      </c>
    </row>
    <row r="77" spans="1:8" s="32" customFormat="1" ht="38.25" x14ac:dyDescent="0.2">
      <c r="A77" s="16" t="s">
        <v>88</v>
      </c>
      <c r="B77" s="16" t="s">
        <v>9</v>
      </c>
      <c r="C77" s="135" t="s">
        <v>459</v>
      </c>
      <c r="D77" s="82" t="s">
        <v>211</v>
      </c>
      <c r="E77" s="98" t="s">
        <v>212</v>
      </c>
      <c r="F77" s="41">
        <v>173.5</v>
      </c>
      <c r="G77" s="41">
        <v>100</v>
      </c>
      <c r="H77" s="41">
        <v>100</v>
      </c>
    </row>
    <row r="78" spans="1:8" s="32" customFormat="1" ht="38.25" x14ac:dyDescent="0.2">
      <c r="A78" s="16" t="s">
        <v>88</v>
      </c>
      <c r="B78" s="16" t="s">
        <v>9</v>
      </c>
      <c r="C78" s="74">
        <v>310223174</v>
      </c>
      <c r="D78" s="16"/>
      <c r="E78" s="97" t="s">
        <v>161</v>
      </c>
      <c r="F78" s="41">
        <f>SUM(F79:F80)</f>
        <v>13158.599999999999</v>
      </c>
      <c r="G78" s="41">
        <f t="shared" ref="G78:H78" si="8">SUM(G79:G80)</f>
        <v>7490</v>
      </c>
      <c r="H78" s="41">
        <f t="shared" si="8"/>
        <v>7466.2</v>
      </c>
    </row>
    <row r="79" spans="1:8" s="32" customFormat="1" ht="38.25" x14ac:dyDescent="0.2">
      <c r="A79" s="16" t="s">
        <v>88</v>
      </c>
      <c r="B79" s="16" t="s">
        <v>9</v>
      </c>
      <c r="C79" s="74">
        <v>310223174</v>
      </c>
      <c r="D79" s="82" t="s">
        <v>211</v>
      </c>
      <c r="E79" s="98" t="s">
        <v>212</v>
      </c>
      <c r="F79" s="41">
        <f>9728.9+4.8+1000+2500-62.6+100-193.8</f>
        <v>13077.3</v>
      </c>
      <c r="G79" s="41">
        <v>7490</v>
      </c>
      <c r="H79" s="41">
        <v>7466.2</v>
      </c>
    </row>
    <row r="80" spans="1:8" s="32" customFormat="1" ht="25.5" x14ac:dyDescent="0.2">
      <c r="A80" s="16" t="s">
        <v>88</v>
      </c>
      <c r="B80" s="16" t="s">
        <v>9</v>
      </c>
      <c r="C80" s="74">
        <v>310223174</v>
      </c>
      <c r="D80" s="82" t="s">
        <v>131</v>
      </c>
      <c r="E80" s="98" t="s">
        <v>132</v>
      </c>
      <c r="F80" s="41">
        <f>62.6+18.8-0.1</f>
        <v>81.300000000000011</v>
      </c>
      <c r="G80" s="41">
        <v>0</v>
      </c>
      <c r="H80" s="41">
        <v>0</v>
      </c>
    </row>
    <row r="81" spans="1:10" s="32" customFormat="1" ht="51.75" customHeight="1" x14ac:dyDescent="0.2">
      <c r="A81" s="16" t="s">
        <v>88</v>
      </c>
      <c r="B81" s="16" t="s">
        <v>9</v>
      </c>
      <c r="C81" s="21" t="s">
        <v>733</v>
      </c>
      <c r="D81" s="35"/>
      <c r="E81" s="97" t="s">
        <v>765</v>
      </c>
      <c r="F81" s="1">
        <f>F82</f>
        <v>6352.2</v>
      </c>
      <c r="G81" s="39">
        <f t="shared" ref="G81:H81" si="9">G82</f>
        <v>0</v>
      </c>
      <c r="H81" s="39">
        <f t="shared" si="9"/>
        <v>0</v>
      </c>
    </row>
    <row r="82" spans="1:10" s="32" customFormat="1" ht="38.25" x14ac:dyDescent="0.2">
      <c r="A82" s="16" t="s">
        <v>88</v>
      </c>
      <c r="B82" s="16" t="s">
        <v>9</v>
      </c>
      <c r="C82" s="21" t="s">
        <v>733</v>
      </c>
      <c r="D82" s="82" t="s">
        <v>211</v>
      </c>
      <c r="E82" s="98" t="s">
        <v>212</v>
      </c>
      <c r="F82" s="1">
        <f>6352.2</f>
        <v>6352.2</v>
      </c>
      <c r="G82" s="39">
        <v>0</v>
      </c>
      <c r="H82" s="39">
        <v>0</v>
      </c>
    </row>
    <row r="83" spans="1:10" s="32" customFormat="1" ht="51" customHeight="1" x14ac:dyDescent="0.2">
      <c r="A83" s="16" t="s">
        <v>88</v>
      </c>
      <c r="B83" s="16" t="s">
        <v>9</v>
      </c>
      <c r="C83" s="21" t="s">
        <v>732</v>
      </c>
      <c r="D83" s="82"/>
      <c r="E83" s="54" t="s">
        <v>728</v>
      </c>
      <c r="F83" s="41">
        <f>F84</f>
        <v>24876.3</v>
      </c>
      <c r="G83" s="41">
        <f t="shared" ref="G83:H83" si="10">G84</f>
        <v>0</v>
      </c>
      <c r="H83" s="41">
        <f t="shared" si="10"/>
        <v>0</v>
      </c>
      <c r="J83" s="171"/>
    </row>
    <row r="84" spans="1:10" s="32" customFormat="1" ht="38.25" x14ac:dyDescent="0.2">
      <c r="A84" s="16" t="s">
        <v>88</v>
      </c>
      <c r="B84" s="16" t="s">
        <v>9</v>
      </c>
      <c r="C84" s="21" t="s">
        <v>732</v>
      </c>
      <c r="D84" s="82" t="s">
        <v>211</v>
      </c>
      <c r="E84" s="98" t="s">
        <v>212</v>
      </c>
      <c r="F84" s="41">
        <f>25408.7-532.4</f>
        <v>24876.3</v>
      </c>
      <c r="G84" s="39">
        <v>0</v>
      </c>
      <c r="H84" s="39">
        <v>0</v>
      </c>
    </row>
    <row r="85" spans="1:10" s="32" customFormat="1" ht="36" customHeight="1" x14ac:dyDescent="0.2">
      <c r="A85" s="16" t="s">
        <v>88</v>
      </c>
      <c r="B85" s="16" t="s">
        <v>9</v>
      </c>
      <c r="C85" s="57" t="s">
        <v>778</v>
      </c>
      <c r="D85" s="21"/>
      <c r="E85" s="98" t="s">
        <v>777</v>
      </c>
      <c r="F85" s="41">
        <f>F86</f>
        <v>10273.1</v>
      </c>
      <c r="G85" s="41">
        <f t="shared" ref="G85:H85" si="11">G86</f>
        <v>0</v>
      </c>
      <c r="H85" s="41">
        <f t="shared" si="11"/>
        <v>0</v>
      </c>
    </row>
    <row r="86" spans="1:10" s="32" customFormat="1" ht="38.25" x14ac:dyDescent="0.2">
      <c r="A86" s="16" t="s">
        <v>88</v>
      </c>
      <c r="B86" s="16" t="s">
        <v>9</v>
      </c>
      <c r="C86" s="57" t="s">
        <v>778</v>
      </c>
      <c r="D86" s="82" t="s">
        <v>211</v>
      </c>
      <c r="E86" s="98" t="s">
        <v>212</v>
      </c>
      <c r="F86" s="41">
        <f>1920.7+1188.8+1675.8+5487.8</f>
        <v>10273.1</v>
      </c>
      <c r="G86" s="39">
        <v>0</v>
      </c>
      <c r="H86" s="39">
        <v>0</v>
      </c>
    </row>
    <row r="87" spans="1:10" s="32" customFormat="1" ht="38.25" x14ac:dyDescent="0.2">
      <c r="A87" s="16" t="s">
        <v>88</v>
      </c>
      <c r="B87" s="16" t="s">
        <v>9</v>
      </c>
      <c r="C87" s="162" t="s">
        <v>734</v>
      </c>
      <c r="D87" s="21"/>
      <c r="E87" s="98" t="s">
        <v>727</v>
      </c>
      <c r="F87" s="94">
        <f>F88</f>
        <v>101333.4</v>
      </c>
      <c r="G87" s="94">
        <f t="shared" ref="G87:H87" si="12">G88</f>
        <v>0</v>
      </c>
      <c r="H87" s="94">
        <f t="shared" si="12"/>
        <v>0</v>
      </c>
    </row>
    <row r="88" spans="1:10" s="32" customFormat="1" ht="38.25" x14ac:dyDescent="0.2">
      <c r="A88" s="16" t="s">
        <v>88</v>
      </c>
      <c r="B88" s="16" t="s">
        <v>9</v>
      </c>
      <c r="C88" s="162" t="s">
        <v>734</v>
      </c>
      <c r="D88" s="82" t="s">
        <v>211</v>
      </c>
      <c r="E88" s="98" t="s">
        <v>212</v>
      </c>
      <c r="F88" s="94">
        <v>101333.4</v>
      </c>
      <c r="G88" s="41">
        <v>0</v>
      </c>
      <c r="H88" s="41">
        <v>0</v>
      </c>
    </row>
    <row r="89" spans="1:10" s="32" customFormat="1" ht="51" x14ac:dyDescent="0.2">
      <c r="A89" s="16" t="s">
        <v>88</v>
      </c>
      <c r="B89" s="16" t="s">
        <v>9</v>
      </c>
      <c r="C89" s="162" t="s">
        <v>735</v>
      </c>
      <c r="D89" s="21"/>
      <c r="E89" s="98" t="s">
        <v>708</v>
      </c>
      <c r="F89" s="94">
        <f>F90</f>
        <v>3172.5</v>
      </c>
      <c r="G89" s="94">
        <f t="shared" ref="G89:H89" si="13">G90</f>
        <v>0</v>
      </c>
      <c r="H89" s="94">
        <f t="shared" si="13"/>
        <v>0</v>
      </c>
    </row>
    <row r="90" spans="1:10" s="32" customFormat="1" ht="38.25" x14ac:dyDescent="0.2">
      <c r="A90" s="16" t="s">
        <v>88</v>
      </c>
      <c r="B90" s="16" t="s">
        <v>9</v>
      </c>
      <c r="C90" s="162" t="s">
        <v>735</v>
      </c>
      <c r="D90" s="82" t="s">
        <v>211</v>
      </c>
      <c r="E90" s="98" t="s">
        <v>212</v>
      </c>
      <c r="F90" s="94">
        <v>3172.5</v>
      </c>
      <c r="G90" s="41">
        <v>0</v>
      </c>
      <c r="H90" s="41">
        <v>0</v>
      </c>
    </row>
    <row r="91" spans="1:10" s="32" customFormat="1" ht="51" x14ac:dyDescent="0.2">
      <c r="A91" s="16" t="s">
        <v>88</v>
      </c>
      <c r="B91" s="16" t="s">
        <v>9</v>
      </c>
      <c r="C91" s="162" t="s">
        <v>736</v>
      </c>
      <c r="D91" s="82"/>
      <c r="E91" s="98" t="s">
        <v>729</v>
      </c>
      <c r="F91" s="41">
        <f>F92</f>
        <v>5401.9</v>
      </c>
      <c r="G91" s="94">
        <f t="shared" ref="G91" si="14">G92</f>
        <v>0</v>
      </c>
      <c r="H91" s="94">
        <f t="shared" ref="H91" si="15">H92</f>
        <v>0</v>
      </c>
    </row>
    <row r="92" spans="1:10" s="32" customFormat="1" ht="38.25" x14ac:dyDescent="0.2">
      <c r="A92" s="16" t="s">
        <v>88</v>
      </c>
      <c r="B92" s="16" t="s">
        <v>9</v>
      </c>
      <c r="C92" s="162" t="s">
        <v>736</v>
      </c>
      <c r="D92" s="82" t="s">
        <v>211</v>
      </c>
      <c r="E92" s="98" t="s">
        <v>212</v>
      </c>
      <c r="F92" s="41">
        <f>352.5+5049.4</f>
        <v>5401.9</v>
      </c>
      <c r="G92" s="41">
        <v>0</v>
      </c>
      <c r="H92" s="41">
        <v>0</v>
      </c>
    </row>
    <row r="93" spans="1:10" s="32" customFormat="1" ht="25.5" x14ac:dyDescent="0.2">
      <c r="A93" s="5" t="s">
        <v>88</v>
      </c>
      <c r="B93" s="5" t="s">
        <v>9</v>
      </c>
      <c r="C93" s="83">
        <v>9900000000</v>
      </c>
      <c r="D93" s="5"/>
      <c r="E93" s="84" t="s">
        <v>144</v>
      </c>
      <c r="F93" s="96">
        <f>F94+F103+F98</f>
        <v>53333.100000000006</v>
      </c>
      <c r="G93" s="96">
        <f>G94+G103+G98</f>
        <v>41005.9</v>
      </c>
      <c r="H93" s="96">
        <f>H94+H103+H98</f>
        <v>41008.000000000007</v>
      </c>
    </row>
    <row r="94" spans="1:10" s="32" customFormat="1" ht="25.5" x14ac:dyDescent="0.2">
      <c r="A94" s="16" t="s">
        <v>88</v>
      </c>
      <c r="B94" s="16" t="s">
        <v>9</v>
      </c>
      <c r="C94" s="79">
        <v>9930000000</v>
      </c>
      <c r="D94" s="16"/>
      <c r="E94" s="22" t="s">
        <v>40</v>
      </c>
      <c r="F94" s="39">
        <f>F95</f>
        <v>271.10000000000002</v>
      </c>
      <c r="G94" s="39">
        <f>G95</f>
        <v>273.2</v>
      </c>
      <c r="H94" s="39">
        <f>H95</f>
        <v>275.3</v>
      </c>
    </row>
    <row r="95" spans="1:10" s="32" customFormat="1" ht="38.25" customHeight="1" x14ac:dyDescent="0.2">
      <c r="A95" s="16" t="s">
        <v>88</v>
      </c>
      <c r="B95" s="16" t="s">
        <v>9</v>
      </c>
      <c r="C95" s="79">
        <v>9930010540</v>
      </c>
      <c r="D95" s="16"/>
      <c r="E95" s="22" t="s">
        <v>16</v>
      </c>
      <c r="F95" s="39">
        <f>F96+F97</f>
        <v>271.10000000000002</v>
      </c>
      <c r="G95" s="39">
        <f>G96+G97</f>
        <v>273.2</v>
      </c>
      <c r="H95" s="39">
        <f>H96+H97</f>
        <v>275.3</v>
      </c>
    </row>
    <row r="96" spans="1:10" s="32" customFormat="1" ht="38.25" x14ac:dyDescent="0.2">
      <c r="A96" s="16" t="s">
        <v>88</v>
      </c>
      <c r="B96" s="16" t="s">
        <v>9</v>
      </c>
      <c r="C96" s="79">
        <v>9930010540</v>
      </c>
      <c r="D96" s="16" t="s">
        <v>62</v>
      </c>
      <c r="E96" s="102" t="s">
        <v>63</v>
      </c>
      <c r="F96" s="39">
        <v>254.9</v>
      </c>
      <c r="G96" s="39">
        <v>254.9</v>
      </c>
      <c r="H96" s="39">
        <v>254.9</v>
      </c>
    </row>
    <row r="97" spans="1:8" s="32" customFormat="1" ht="38.25" x14ac:dyDescent="0.2">
      <c r="A97" s="16" t="s">
        <v>88</v>
      </c>
      <c r="B97" s="16" t="s">
        <v>9</v>
      </c>
      <c r="C97" s="79">
        <v>9930010540</v>
      </c>
      <c r="D97" s="82" t="s">
        <v>211</v>
      </c>
      <c r="E97" s="98" t="s">
        <v>212</v>
      </c>
      <c r="F97" s="39">
        <v>16.2</v>
      </c>
      <c r="G97" s="39">
        <v>18.3</v>
      </c>
      <c r="H97" s="39">
        <v>20.399999999999999</v>
      </c>
    </row>
    <row r="98" spans="1:8" s="32" customFormat="1" ht="38.25" x14ac:dyDescent="0.2">
      <c r="A98" s="16" t="s">
        <v>88</v>
      </c>
      <c r="B98" s="16" t="s">
        <v>9</v>
      </c>
      <c r="C98" s="16" t="s">
        <v>24</v>
      </c>
      <c r="D98" s="16"/>
      <c r="E98" s="99" t="s">
        <v>38</v>
      </c>
      <c r="F98" s="39">
        <f>F99</f>
        <v>7027.4</v>
      </c>
      <c r="G98" s="39">
        <f>G99</f>
        <v>1417</v>
      </c>
      <c r="H98" s="39">
        <f>H99</f>
        <v>1417</v>
      </c>
    </row>
    <row r="99" spans="1:8" s="32" customFormat="1" ht="25.5" x14ac:dyDescent="0.2">
      <c r="A99" s="16" t="s">
        <v>88</v>
      </c>
      <c r="B99" s="16" t="s">
        <v>9</v>
      </c>
      <c r="C99" s="82" t="s">
        <v>534</v>
      </c>
      <c r="D99" s="16"/>
      <c r="E99" s="99" t="s">
        <v>39</v>
      </c>
      <c r="F99" s="39">
        <f>SUM(F100:F102)</f>
        <v>7027.4</v>
      </c>
      <c r="G99" s="39">
        <f>SUM(G100:G102)</f>
        <v>1417</v>
      </c>
      <c r="H99" s="39">
        <f>SUM(H100:H102)</f>
        <v>1417</v>
      </c>
    </row>
    <row r="100" spans="1:8" s="32" customFormat="1" ht="38.25" x14ac:dyDescent="0.2">
      <c r="A100" s="16" t="s">
        <v>88</v>
      </c>
      <c r="B100" s="16" t="s">
        <v>9</v>
      </c>
      <c r="C100" s="82" t="s">
        <v>534</v>
      </c>
      <c r="D100" s="82" t="s">
        <v>211</v>
      </c>
      <c r="E100" s="98" t="s">
        <v>212</v>
      </c>
      <c r="F100" s="39">
        <v>286.2</v>
      </c>
      <c r="G100" s="39">
        <v>287</v>
      </c>
      <c r="H100" s="39">
        <v>287</v>
      </c>
    </row>
    <row r="101" spans="1:8" s="32" customFormat="1" ht="14.25" x14ac:dyDescent="0.2">
      <c r="A101" s="16" t="s">
        <v>88</v>
      </c>
      <c r="B101" s="16" t="s">
        <v>9</v>
      </c>
      <c r="C101" s="82" t="s">
        <v>534</v>
      </c>
      <c r="D101" s="16" t="s">
        <v>81</v>
      </c>
      <c r="E101" s="98" t="s">
        <v>82</v>
      </c>
      <c r="F101" s="39">
        <v>528</v>
      </c>
      <c r="G101" s="39">
        <v>528</v>
      </c>
      <c r="H101" s="39">
        <v>528</v>
      </c>
    </row>
    <row r="102" spans="1:8" s="32" customFormat="1" ht="25.5" x14ac:dyDescent="0.2">
      <c r="A102" s="16" t="s">
        <v>88</v>
      </c>
      <c r="B102" s="16" t="s">
        <v>9</v>
      </c>
      <c r="C102" s="82" t="s">
        <v>534</v>
      </c>
      <c r="D102" s="82" t="s">
        <v>131</v>
      </c>
      <c r="E102" s="98" t="s">
        <v>132</v>
      </c>
      <c r="F102" s="39">
        <f>602+4630+40+960-18.8</f>
        <v>6213.2</v>
      </c>
      <c r="G102" s="39">
        <v>602</v>
      </c>
      <c r="H102" s="39">
        <v>602</v>
      </c>
    </row>
    <row r="103" spans="1:8" s="32" customFormat="1" ht="25.5" customHeight="1" x14ac:dyDescent="0.2">
      <c r="A103" s="16" t="s">
        <v>88</v>
      </c>
      <c r="B103" s="16" t="s">
        <v>9</v>
      </c>
      <c r="C103" s="82" t="s">
        <v>194</v>
      </c>
      <c r="D103" s="16"/>
      <c r="E103" s="99" t="s">
        <v>195</v>
      </c>
      <c r="F103" s="39">
        <f>F104+F107</f>
        <v>46034.600000000006</v>
      </c>
      <c r="G103" s="39">
        <f>G104+G107</f>
        <v>39315.700000000004</v>
      </c>
      <c r="H103" s="39">
        <f>H104+H107</f>
        <v>39315.700000000004</v>
      </c>
    </row>
    <row r="104" spans="1:8" s="32" customFormat="1" ht="38.25" x14ac:dyDescent="0.2">
      <c r="A104" s="16" t="s">
        <v>88</v>
      </c>
      <c r="B104" s="16" t="s">
        <v>9</v>
      </c>
      <c r="C104" s="21" t="s">
        <v>536</v>
      </c>
      <c r="D104" s="47"/>
      <c r="E104" s="54" t="s">
        <v>284</v>
      </c>
      <c r="F104" s="41">
        <f>SUM(F105:F106)</f>
        <v>11238.800000000001</v>
      </c>
      <c r="G104" s="41">
        <f>SUM(G105:G106)</f>
        <v>10807.1</v>
      </c>
      <c r="H104" s="41">
        <f>SUM(H105:H106)</f>
        <v>10807.1</v>
      </c>
    </row>
    <row r="105" spans="1:8" s="32" customFormat="1" ht="25.5" x14ac:dyDescent="0.2">
      <c r="A105" s="16" t="s">
        <v>88</v>
      </c>
      <c r="B105" s="16" t="s">
        <v>9</v>
      </c>
      <c r="C105" s="21" t="s">
        <v>536</v>
      </c>
      <c r="D105" s="16" t="s">
        <v>64</v>
      </c>
      <c r="E105" s="102" t="s">
        <v>130</v>
      </c>
      <c r="F105" s="41">
        <f>10020.7+431.7</f>
        <v>10452.400000000001</v>
      </c>
      <c r="G105" s="41">
        <v>10020.700000000001</v>
      </c>
      <c r="H105" s="41">
        <v>10020.700000000001</v>
      </c>
    </row>
    <row r="106" spans="1:8" s="32" customFormat="1" ht="38.25" x14ac:dyDescent="0.2">
      <c r="A106" s="16" t="s">
        <v>88</v>
      </c>
      <c r="B106" s="16" t="s">
        <v>9</v>
      </c>
      <c r="C106" s="21" t="s">
        <v>536</v>
      </c>
      <c r="D106" s="82" t="s">
        <v>211</v>
      </c>
      <c r="E106" s="98" t="s">
        <v>212</v>
      </c>
      <c r="F106" s="41">
        <v>786.4</v>
      </c>
      <c r="G106" s="41">
        <v>786.4</v>
      </c>
      <c r="H106" s="41">
        <v>786.4</v>
      </c>
    </row>
    <row r="107" spans="1:8" s="32" customFormat="1" ht="54.75" customHeight="1" x14ac:dyDescent="0.2">
      <c r="A107" s="16" t="s">
        <v>88</v>
      </c>
      <c r="B107" s="16" t="s">
        <v>9</v>
      </c>
      <c r="C107" s="21" t="s">
        <v>538</v>
      </c>
      <c r="D107" s="47"/>
      <c r="E107" s="54" t="s">
        <v>537</v>
      </c>
      <c r="F107" s="41">
        <f>SUM(F108:F111)</f>
        <v>34795.800000000003</v>
      </c>
      <c r="G107" s="41">
        <f>SUM(G108:G111)</f>
        <v>28508.600000000002</v>
      </c>
      <c r="H107" s="41">
        <f>SUM(H108:H111)</f>
        <v>28508.600000000002</v>
      </c>
    </row>
    <row r="108" spans="1:8" s="32" customFormat="1" ht="25.5" x14ac:dyDescent="0.2">
      <c r="A108" s="16" t="s">
        <v>88</v>
      </c>
      <c r="B108" s="16" t="s">
        <v>9</v>
      </c>
      <c r="C108" s="21" t="s">
        <v>538</v>
      </c>
      <c r="D108" s="16" t="s">
        <v>64</v>
      </c>
      <c r="E108" s="102" t="s">
        <v>130</v>
      </c>
      <c r="F108" s="41">
        <f>11105.9+224.2-17.6-16.9</f>
        <v>11295.6</v>
      </c>
      <c r="G108" s="41">
        <v>11105.9</v>
      </c>
      <c r="H108" s="41">
        <v>11105.9</v>
      </c>
    </row>
    <row r="109" spans="1:8" s="32" customFormat="1" ht="38.25" x14ac:dyDescent="0.2">
      <c r="A109" s="16" t="s">
        <v>88</v>
      </c>
      <c r="B109" s="16" t="s">
        <v>9</v>
      </c>
      <c r="C109" s="21" t="s">
        <v>538</v>
      </c>
      <c r="D109" s="82" t="s">
        <v>211</v>
      </c>
      <c r="E109" s="98" t="s">
        <v>212</v>
      </c>
      <c r="F109" s="41">
        <f>17241.4+6103.5</f>
        <v>23344.9</v>
      </c>
      <c r="G109" s="41">
        <v>17281.900000000001</v>
      </c>
      <c r="H109" s="41">
        <v>17281.900000000001</v>
      </c>
    </row>
    <row r="110" spans="1:8" s="32" customFormat="1" ht="38.25" x14ac:dyDescent="0.2">
      <c r="A110" s="16" t="s">
        <v>88</v>
      </c>
      <c r="B110" s="16" t="s">
        <v>9</v>
      </c>
      <c r="C110" s="21" t="s">
        <v>538</v>
      </c>
      <c r="D110" s="82" t="s">
        <v>260</v>
      </c>
      <c r="E110" s="98" t="s">
        <v>249</v>
      </c>
      <c r="F110" s="41">
        <f>17.6+16.9</f>
        <v>34.5</v>
      </c>
      <c r="G110" s="41">
        <v>0</v>
      </c>
      <c r="H110" s="41">
        <v>0</v>
      </c>
    </row>
    <row r="111" spans="1:8" s="32" customFormat="1" ht="25.5" x14ac:dyDescent="0.2">
      <c r="A111" s="16" t="s">
        <v>88</v>
      </c>
      <c r="B111" s="16" t="s">
        <v>9</v>
      </c>
      <c r="C111" s="21" t="s">
        <v>538</v>
      </c>
      <c r="D111" s="82" t="s">
        <v>131</v>
      </c>
      <c r="E111" s="98" t="s">
        <v>132</v>
      </c>
      <c r="F111" s="41">
        <v>120.8</v>
      </c>
      <c r="G111" s="41">
        <v>120.8</v>
      </c>
      <c r="H111" s="41">
        <v>120.8</v>
      </c>
    </row>
    <row r="112" spans="1:8" ht="45" x14ac:dyDescent="0.25">
      <c r="A112" s="4" t="s">
        <v>93</v>
      </c>
      <c r="B112" s="3"/>
      <c r="C112" s="3"/>
      <c r="D112" s="3"/>
      <c r="E112" s="49" t="s">
        <v>98</v>
      </c>
      <c r="F112" s="92">
        <f>F113+F118+F144</f>
        <v>11336.2</v>
      </c>
      <c r="G112" s="92">
        <f>G113+G118+G144</f>
        <v>9750</v>
      </c>
      <c r="H112" s="92">
        <f>H113+H118+H144</f>
        <v>9720.6</v>
      </c>
    </row>
    <row r="113" spans="1:8" ht="15" x14ac:dyDescent="0.25">
      <c r="A113" s="28" t="s">
        <v>93</v>
      </c>
      <c r="B113" s="28" t="s">
        <v>94</v>
      </c>
      <c r="C113" s="28"/>
      <c r="D113" s="34"/>
      <c r="E113" s="46" t="s">
        <v>18</v>
      </c>
      <c r="F113" s="40">
        <f>F116</f>
        <v>1414.2</v>
      </c>
      <c r="G113" s="40">
        <f>G116</f>
        <v>1414.2</v>
      </c>
      <c r="H113" s="40">
        <f>H116</f>
        <v>1414.2</v>
      </c>
    </row>
    <row r="114" spans="1:8" ht="25.5" x14ac:dyDescent="0.2">
      <c r="A114" s="16" t="s">
        <v>93</v>
      </c>
      <c r="B114" s="16" t="s">
        <v>94</v>
      </c>
      <c r="C114" s="79">
        <v>9900000000</v>
      </c>
      <c r="D114" s="34"/>
      <c r="E114" s="55" t="s">
        <v>144</v>
      </c>
      <c r="F114" s="41">
        <f t="shared" ref="F114:H115" si="16">F115</f>
        <v>1414.2</v>
      </c>
      <c r="G114" s="41">
        <f t="shared" si="16"/>
        <v>1414.2</v>
      </c>
      <c r="H114" s="41">
        <f t="shared" si="16"/>
        <v>1414.2</v>
      </c>
    </row>
    <row r="115" spans="1:8" ht="25.5" x14ac:dyDescent="0.2">
      <c r="A115" s="16" t="s">
        <v>93</v>
      </c>
      <c r="B115" s="16" t="s">
        <v>94</v>
      </c>
      <c r="C115" s="79">
        <v>9930000000</v>
      </c>
      <c r="D115" s="16"/>
      <c r="E115" s="22" t="s">
        <v>40</v>
      </c>
      <c r="F115" s="41">
        <f t="shared" si="16"/>
        <v>1414.2</v>
      </c>
      <c r="G115" s="41">
        <f t="shared" si="16"/>
        <v>1414.2</v>
      </c>
      <c r="H115" s="41">
        <f t="shared" si="16"/>
        <v>1414.2</v>
      </c>
    </row>
    <row r="116" spans="1:8" ht="51" x14ac:dyDescent="0.2">
      <c r="A116" s="16" t="s">
        <v>93</v>
      </c>
      <c r="B116" s="16" t="s">
        <v>94</v>
      </c>
      <c r="C116" s="79">
        <v>9930059302</v>
      </c>
      <c r="D116" s="16"/>
      <c r="E116" s="99" t="s">
        <v>364</v>
      </c>
      <c r="F116" s="39">
        <f>SUM(F117:F117)</f>
        <v>1414.2</v>
      </c>
      <c r="G116" s="39">
        <f>SUM(G117:G117)</f>
        <v>1414.2</v>
      </c>
      <c r="H116" s="39">
        <f>SUM(H117:H117)</f>
        <v>1414.2</v>
      </c>
    </row>
    <row r="117" spans="1:8" ht="38.25" x14ac:dyDescent="0.2">
      <c r="A117" s="16" t="s">
        <v>93</v>
      </c>
      <c r="B117" s="16" t="s">
        <v>94</v>
      </c>
      <c r="C117" s="79">
        <v>9930059302</v>
      </c>
      <c r="D117" s="16" t="s">
        <v>62</v>
      </c>
      <c r="E117" s="55" t="s">
        <v>63</v>
      </c>
      <c r="F117" s="39">
        <v>1414.2</v>
      </c>
      <c r="G117" s="39">
        <v>1414.2</v>
      </c>
      <c r="H117" s="39">
        <v>1414.2</v>
      </c>
    </row>
    <row r="118" spans="1:8" s="32" customFormat="1" ht="51.75" x14ac:dyDescent="0.25">
      <c r="A118" s="28" t="s">
        <v>93</v>
      </c>
      <c r="B118" s="28" t="s">
        <v>110</v>
      </c>
      <c r="C118" s="28"/>
      <c r="D118" s="34"/>
      <c r="E118" s="48" t="s">
        <v>372</v>
      </c>
      <c r="F118" s="40">
        <f>F119+F139</f>
        <v>9888</v>
      </c>
      <c r="G118" s="40">
        <f>G119+G139</f>
        <v>8272.4</v>
      </c>
      <c r="H118" s="40">
        <f>H119+H139</f>
        <v>8272.4</v>
      </c>
    </row>
    <row r="119" spans="1:8" s="32" customFormat="1" ht="90" x14ac:dyDescent="0.25">
      <c r="A119" s="21" t="s">
        <v>93</v>
      </c>
      <c r="B119" s="21" t="s">
        <v>110</v>
      </c>
      <c r="C119" s="73" t="s">
        <v>50</v>
      </c>
      <c r="D119" s="16"/>
      <c r="E119" s="64" t="s">
        <v>583</v>
      </c>
      <c r="F119" s="59">
        <f>F120+F125+F129+F134</f>
        <v>2878</v>
      </c>
      <c r="G119" s="59">
        <f>G120+G125+G129+G134</f>
        <v>1500</v>
      </c>
      <c r="H119" s="59">
        <f>H120+H125+H129+H134</f>
        <v>1500</v>
      </c>
    </row>
    <row r="120" spans="1:8" s="32" customFormat="1" ht="63.75" x14ac:dyDescent="0.2">
      <c r="A120" s="21" t="s">
        <v>93</v>
      </c>
      <c r="B120" s="21" t="s">
        <v>110</v>
      </c>
      <c r="C120" s="52" t="s">
        <v>51</v>
      </c>
      <c r="D120" s="16"/>
      <c r="E120" s="48" t="s">
        <v>203</v>
      </c>
      <c r="F120" s="93">
        <f>F121+F123</f>
        <v>143.5</v>
      </c>
      <c r="G120" s="93">
        <f>G121+G123</f>
        <v>80</v>
      </c>
      <c r="H120" s="93">
        <f>H121+H123</f>
        <v>80</v>
      </c>
    </row>
    <row r="121" spans="1:8" s="32" customFormat="1" ht="38.25" x14ac:dyDescent="0.2">
      <c r="A121" s="21" t="s">
        <v>93</v>
      </c>
      <c r="B121" s="21" t="s">
        <v>110</v>
      </c>
      <c r="C121" s="74">
        <v>1110123305</v>
      </c>
      <c r="D121" s="16"/>
      <c r="E121" s="99" t="s">
        <v>217</v>
      </c>
      <c r="F121" s="39">
        <f>F122</f>
        <v>103.5</v>
      </c>
      <c r="G121" s="39">
        <f>G122</f>
        <v>40</v>
      </c>
      <c r="H121" s="39">
        <f>H122</f>
        <v>40</v>
      </c>
    </row>
    <row r="122" spans="1:8" s="32" customFormat="1" ht="38.25" x14ac:dyDescent="0.2">
      <c r="A122" s="21" t="s">
        <v>93</v>
      </c>
      <c r="B122" s="21" t="s">
        <v>110</v>
      </c>
      <c r="C122" s="74">
        <v>1110123305</v>
      </c>
      <c r="D122" s="82" t="s">
        <v>211</v>
      </c>
      <c r="E122" s="98" t="s">
        <v>212</v>
      </c>
      <c r="F122" s="39">
        <f>40+63.5</f>
        <v>103.5</v>
      </c>
      <c r="G122" s="39">
        <v>40</v>
      </c>
      <c r="H122" s="39">
        <v>40</v>
      </c>
    </row>
    <row r="123" spans="1:8" s="32" customFormat="1" ht="50.25" customHeight="1" x14ac:dyDescent="0.2">
      <c r="A123" s="21" t="s">
        <v>93</v>
      </c>
      <c r="B123" s="21" t="s">
        <v>110</v>
      </c>
      <c r="C123" s="74">
        <v>1110123310</v>
      </c>
      <c r="D123" s="16"/>
      <c r="E123" s="99" t="s">
        <v>205</v>
      </c>
      <c r="F123" s="41">
        <f>F124</f>
        <v>40</v>
      </c>
      <c r="G123" s="41">
        <f>G124</f>
        <v>40</v>
      </c>
      <c r="H123" s="41">
        <f>H124</f>
        <v>40</v>
      </c>
    </row>
    <row r="124" spans="1:8" s="32" customFormat="1" ht="38.25" x14ac:dyDescent="0.2">
      <c r="A124" s="21" t="s">
        <v>93</v>
      </c>
      <c r="B124" s="21" t="s">
        <v>110</v>
      </c>
      <c r="C124" s="74">
        <v>1110123310</v>
      </c>
      <c r="D124" s="82" t="s">
        <v>211</v>
      </c>
      <c r="E124" s="98" t="s">
        <v>212</v>
      </c>
      <c r="F124" s="39">
        <v>40</v>
      </c>
      <c r="G124" s="39">
        <v>40</v>
      </c>
      <c r="H124" s="39">
        <v>40</v>
      </c>
    </row>
    <row r="125" spans="1:8" s="32" customFormat="1" ht="38.25" x14ac:dyDescent="0.2">
      <c r="A125" s="21" t="s">
        <v>93</v>
      </c>
      <c r="B125" s="21" t="s">
        <v>110</v>
      </c>
      <c r="C125" s="52" t="s">
        <v>52</v>
      </c>
      <c r="D125" s="16"/>
      <c r="E125" s="48" t="s">
        <v>199</v>
      </c>
      <c r="F125" s="93">
        <f>F126</f>
        <v>2709.5</v>
      </c>
      <c r="G125" s="93">
        <f>G126</f>
        <v>1400</v>
      </c>
      <c r="H125" s="93">
        <f>H126</f>
        <v>1400</v>
      </c>
    </row>
    <row r="126" spans="1:8" s="32" customFormat="1" ht="38.25" x14ac:dyDescent="0.2">
      <c r="A126" s="21" t="s">
        <v>93</v>
      </c>
      <c r="B126" s="21" t="s">
        <v>110</v>
      </c>
      <c r="C126" s="74">
        <v>1120123315</v>
      </c>
      <c r="D126" s="16"/>
      <c r="E126" s="98" t="s">
        <v>516</v>
      </c>
      <c r="F126" s="41">
        <f>SUM(F127:F128)</f>
        <v>2709.5</v>
      </c>
      <c r="G126" s="41">
        <f>SUM(G127:G128)</f>
        <v>1400</v>
      </c>
      <c r="H126" s="41">
        <f>SUM(H127:H128)</f>
        <v>1400</v>
      </c>
    </row>
    <row r="127" spans="1:8" s="32" customFormat="1" ht="25.5" x14ac:dyDescent="0.2">
      <c r="A127" s="21" t="s">
        <v>93</v>
      </c>
      <c r="B127" s="21" t="s">
        <v>110</v>
      </c>
      <c r="C127" s="74">
        <v>1120123315</v>
      </c>
      <c r="D127" s="82" t="s">
        <v>64</v>
      </c>
      <c r="E127" s="55" t="s">
        <v>130</v>
      </c>
      <c r="F127" s="41">
        <v>118</v>
      </c>
      <c r="G127" s="41">
        <v>51.2</v>
      </c>
      <c r="H127" s="41">
        <v>51.2</v>
      </c>
    </row>
    <row r="128" spans="1:8" s="32" customFormat="1" ht="38.25" x14ac:dyDescent="0.2">
      <c r="A128" s="21" t="s">
        <v>93</v>
      </c>
      <c r="B128" s="21" t="s">
        <v>110</v>
      </c>
      <c r="C128" s="74">
        <v>1120123315</v>
      </c>
      <c r="D128" s="82" t="s">
        <v>211</v>
      </c>
      <c r="E128" s="98" t="s">
        <v>212</v>
      </c>
      <c r="F128" s="41">
        <f>2147.1+444.4</f>
        <v>2591.5</v>
      </c>
      <c r="G128" s="41">
        <v>1348.8</v>
      </c>
      <c r="H128" s="41">
        <v>1348.8</v>
      </c>
    </row>
    <row r="129" spans="1:8" s="32" customFormat="1" ht="51" x14ac:dyDescent="0.2">
      <c r="A129" s="21" t="s">
        <v>93</v>
      </c>
      <c r="B129" s="21" t="s">
        <v>110</v>
      </c>
      <c r="C129" s="52" t="s">
        <v>53</v>
      </c>
      <c r="D129" s="16"/>
      <c r="E129" s="48" t="s">
        <v>250</v>
      </c>
      <c r="F129" s="93">
        <f>F130+F132</f>
        <v>10</v>
      </c>
      <c r="G129" s="93">
        <f>G130+G132</f>
        <v>5</v>
      </c>
      <c r="H129" s="93">
        <f>H130+H132</f>
        <v>5</v>
      </c>
    </row>
    <row r="130" spans="1:8" s="32" customFormat="1" ht="25.5" x14ac:dyDescent="0.2">
      <c r="A130" s="21" t="s">
        <v>93</v>
      </c>
      <c r="B130" s="21" t="s">
        <v>110</v>
      </c>
      <c r="C130" s="74">
        <v>1130123320</v>
      </c>
      <c r="D130" s="16"/>
      <c r="E130" s="98" t="s">
        <v>251</v>
      </c>
      <c r="F130" s="41">
        <f>F131</f>
        <v>7.9</v>
      </c>
      <c r="G130" s="41">
        <f>G131</f>
        <v>4</v>
      </c>
      <c r="H130" s="41">
        <f>H131</f>
        <v>4</v>
      </c>
    </row>
    <row r="131" spans="1:8" s="32" customFormat="1" ht="38.25" x14ac:dyDescent="0.2">
      <c r="A131" s="21" t="s">
        <v>93</v>
      </c>
      <c r="B131" s="21" t="s">
        <v>110</v>
      </c>
      <c r="C131" s="74">
        <v>1130123320</v>
      </c>
      <c r="D131" s="82" t="s">
        <v>211</v>
      </c>
      <c r="E131" s="98" t="s">
        <v>212</v>
      </c>
      <c r="F131" s="41">
        <f>8-0.1</f>
        <v>7.9</v>
      </c>
      <c r="G131" s="41">
        <v>4</v>
      </c>
      <c r="H131" s="41">
        <v>4</v>
      </c>
    </row>
    <row r="132" spans="1:8" s="32" customFormat="1" ht="38.25" x14ac:dyDescent="0.2">
      <c r="A132" s="21" t="s">
        <v>93</v>
      </c>
      <c r="B132" s="21" t="s">
        <v>110</v>
      </c>
      <c r="C132" s="74">
        <v>1130123325</v>
      </c>
      <c r="D132" s="16"/>
      <c r="E132" s="98" t="s">
        <v>221</v>
      </c>
      <c r="F132" s="41">
        <f>F133</f>
        <v>2.1</v>
      </c>
      <c r="G132" s="41">
        <f>G133</f>
        <v>1</v>
      </c>
      <c r="H132" s="41">
        <f>H133</f>
        <v>1</v>
      </c>
    </row>
    <row r="133" spans="1:8" s="32" customFormat="1" ht="38.25" x14ac:dyDescent="0.2">
      <c r="A133" s="21" t="s">
        <v>93</v>
      </c>
      <c r="B133" s="21" t="s">
        <v>110</v>
      </c>
      <c r="C133" s="74">
        <v>1130123325</v>
      </c>
      <c r="D133" s="82" t="s">
        <v>211</v>
      </c>
      <c r="E133" s="98" t="s">
        <v>212</v>
      </c>
      <c r="F133" s="41">
        <f>2+0.1</f>
        <v>2.1</v>
      </c>
      <c r="G133" s="41">
        <v>1</v>
      </c>
      <c r="H133" s="41">
        <v>1</v>
      </c>
    </row>
    <row r="134" spans="1:8" s="32" customFormat="1" ht="63.75" x14ac:dyDescent="0.2">
      <c r="A134" s="21" t="s">
        <v>93</v>
      </c>
      <c r="B134" s="21" t="s">
        <v>110</v>
      </c>
      <c r="C134" s="52" t="s">
        <v>54</v>
      </c>
      <c r="D134" s="16"/>
      <c r="E134" s="48" t="s">
        <v>204</v>
      </c>
      <c r="F134" s="93">
        <f>F135+F137</f>
        <v>15</v>
      </c>
      <c r="G134" s="93">
        <f>G135+G137</f>
        <v>15</v>
      </c>
      <c r="H134" s="93">
        <f>H135+H137</f>
        <v>15</v>
      </c>
    </row>
    <row r="135" spans="1:8" s="32" customFormat="1" ht="25.5" x14ac:dyDescent="0.2">
      <c r="A135" s="21" t="s">
        <v>93</v>
      </c>
      <c r="B135" s="21" t="s">
        <v>110</v>
      </c>
      <c r="C135" s="74">
        <v>1140123330</v>
      </c>
      <c r="D135" s="16"/>
      <c r="E135" s="98" t="s">
        <v>193</v>
      </c>
      <c r="F135" s="41">
        <f>F136</f>
        <v>12</v>
      </c>
      <c r="G135" s="41">
        <f>G136</f>
        <v>12</v>
      </c>
      <c r="H135" s="41">
        <f>H136</f>
        <v>12</v>
      </c>
    </row>
    <row r="136" spans="1:8" s="32" customFormat="1" ht="38.25" x14ac:dyDescent="0.2">
      <c r="A136" s="21" t="s">
        <v>93</v>
      </c>
      <c r="B136" s="21" t="s">
        <v>110</v>
      </c>
      <c r="C136" s="74">
        <v>1140123330</v>
      </c>
      <c r="D136" s="82" t="s">
        <v>211</v>
      </c>
      <c r="E136" s="98" t="s">
        <v>212</v>
      </c>
      <c r="F136" s="41">
        <v>12</v>
      </c>
      <c r="G136" s="41">
        <v>12</v>
      </c>
      <c r="H136" s="41">
        <v>12</v>
      </c>
    </row>
    <row r="137" spans="1:8" s="32" customFormat="1" ht="38.25" x14ac:dyDescent="0.2">
      <c r="A137" s="21" t="s">
        <v>93</v>
      </c>
      <c r="B137" s="21" t="s">
        <v>110</v>
      </c>
      <c r="C137" s="74">
        <v>1140123335</v>
      </c>
      <c r="D137" s="16"/>
      <c r="E137" s="98" t="s">
        <v>223</v>
      </c>
      <c r="F137" s="41">
        <f>F138</f>
        <v>3</v>
      </c>
      <c r="G137" s="41">
        <f>G138</f>
        <v>3</v>
      </c>
      <c r="H137" s="41">
        <f>H138</f>
        <v>3</v>
      </c>
    </row>
    <row r="138" spans="1:8" s="32" customFormat="1" ht="38.25" x14ac:dyDescent="0.2">
      <c r="A138" s="21" t="s">
        <v>93</v>
      </c>
      <c r="B138" s="21" t="s">
        <v>110</v>
      </c>
      <c r="C138" s="74">
        <v>1140123335</v>
      </c>
      <c r="D138" s="82" t="s">
        <v>211</v>
      </c>
      <c r="E138" s="98" t="s">
        <v>212</v>
      </c>
      <c r="F138" s="41">
        <v>3</v>
      </c>
      <c r="G138" s="41">
        <v>3</v>
      </c>
      <c r="H138" s="41">
        <v>3</v>
      </c>
    </row>
    <row r="139" spans="1:8" s="32" customFormat="1" ht="25.5" x14ac:dyDescent="0.2">
      <c r="A139" s="81" t="s">
        <v>93</v>
      </c>
      <c r="B139" s="81" t="s">
        <v>110</v>
      </c>
      <c r="C139" s="73" t="s">
        <v>194</v>
      </c>
      <c r="D139" s="33"/>
      <c r="E139" s="84" t="s">
        <v>144</v>
      </c>
      <c r="F139" s="61">
        <f>F140</f>
        <v>7010</v>
      </c>
      <c r="G139" s="61">
        <f>G140</f>
        <v>6772.4</v>
      </c>
      <c r="H139" s="61">
        <f>H140</f>
        <v>6772.4</v>
      </c>
    </row>
    <row r="140" spans="1:8" s="32" customFormat="1" ht="63.75" x14ac:dyDescent="0.2">
      <c r="A140" s="21" t="s">
        <v>93</v>
      </c>
      <c r="B140" s="21" t="s">
        <v>110</v>
      </c>
      <c r="C140" s="21" t="s">
        <v>535</v>
      </c>
      <c r="D140" s="47"/>
      <c r="E140" s="54" t="s">
        <v>539</v>
      </c>
      <c r="F140" s="41">
        <f>SUM(F141:F143)</f>
        <v>7010</v>
      </c>
      <c r="G140" s="41">
        <f>SUM(G141:G143)</f>
        <v>6772.4</v>
      </c>
      <c r="H140" s="41">
        <f>SUM(H141:H143)</f>
        <v>6772.4</v>
      </c>
    </row>
    <row r="141" spans="1:8" s="32" customFormat="1" ht="25.5" x14ac:dyDescent="0.2">
      <c r="A141" s="21" t="s">
        <v>93</v>
      </c>
      <c r="B141" s="21" t="s">
        <v>110</v>
      </c>
      <c r="C141" s="21" t="s">
        <v>535</v>
      </c>
      <c r="D141" s="16" t="s">
        <v>64</v>
      </c>
      <c r="E141" s="102" t="s">
        <v>130</v>
      </c>
      <c r="F141" s="41">
        <f>6007.4+237.6</f>
        <v>6245</v>
      </c>
      <c r="G141" s="41">
        <v>6007.4</v>
      </c>
      <c r="H141" s="41">
        <v>6007.4</v>
      </c>
    </row>
    <row r="142" spans="1:8" s="32" customFormat="1" ht="38.25" x14ac:dyDescent="0.2">
      <c r="A142" s="21" t="s">
        <v>93</v>
      </c>
      <c r="B142" s="21" t="s">
        <v>110</v>
      </c>
      <c r="C142" s="21" t="s">
        <v>535</v>
      </c>
      <c r="D142" s="82" t="s">
        <v>211</v>
      </c>
      <c r="E142" s="98" t="s">
        <v>212</v>
      </c>
      <c r="F142" s="41">
        <v>760</v>
      </c>
      <c r="G142" s="41">
        <v>760</v>
      </c>
      <c r="H142" s="41">
        <v>760</v>
      </c>
    </row>
    <row r="143" spans="1:8" s="32" customFormat="1" ht="25.5" x14ac:dyDescent="0.2">
      <c r="A143" s="21" t="s">
        <v>93</v>
      </c>
      <c r="B143" s="21" t="s">
        <v>110</v>
      </c>
      <c r="C143" s="21" t="s">
        <v>535</v>
      </c>
      <c r="D143" s="82" t="s">
        <v>131</v>
      </c>
      <c r="E143" s="98" t="s">
        <v>132</v>
      </c>
      <c r="F143" s="41">
        <v>5</v>
      </c>
      <c r="G143" s="41">
        <v>5</v>
      </c>
      <c r="H143" s="41">
        <v>5</v>
      </c>
    </row>
    <row r="144" spans="1:8" s="32" customFormat="1" ht="39" x14ac:dyDescent="0.25">
      <c r="A144" s="28" t="s">
        <v>93</v>
      </c>
      <c r="B144" s="28" t="s">
        <v>121</v>
      </c>
      <c r="C144" s="28"/>
      <c r="D144" s="34"/>
      <c r="E144" s="46" t="s">
        <v>22</v>
      </c>
      <c r="F144" s="40">
        <f>F145+F149</f>
        <v>34</v>
      </c>
      <c r="G144" s="40">
        <f>G145+G149</f>
        <v>63.4</v>
      </c>
      <c r="H144" s="40">
        <f>H145+H149</f>
        <v>34</v>
      </c>
    </row>
    <row r="145" spans="1:8" s="32" customFormat="1" ht="89.25" x14ac:dyDescent="0.2">
      <c r="A145" s="73" t="s">
        <v>93</v>
      </c>
      <c r="B145" s="73" t="s">
        <v>121</v>
      </c>
      <c r="C145" s="73" t="s">
        <v>71</v>
      </c>
      <c r="D145" s="16"/>
      <c r="E145" s="53" t="s">
        <v>582</v>
      </c>
      <c r="F145" s="96">
        <f t="shared" ref="F145:H147" si="17">F146</f>
        <v>34</v>
      </c>
      <c r="G145" s="96">
        <f t="shared" si="17"/>
        <v>34</v>
      </c>
      <c r="H145" s="96">
        <f t="shared" si="17"/>
        <v>34</v>
      </c>
    </row>
    <row r="146" spans="1:8" s="32" customFormat="1" ht="51" x14ac:dyDescent="0.2">
      <c r="A146" s="21" t="s">
        <v>93</v>
      </c>
      <c r="B146" s="21" t="s">
        <v>121</v>
      </c>
      <c r="C146" s="52" t="s">
        <v>72</v>
      </c>
      <c r="D146" s="16"/>
      <c r="E146" s="60" t="s">
        <v>187</v>
      </c>
      <c r="F146" s="58">
        <f t="shared" si="17"/>
        <v>34</v>
      </c>
      <c r="G146" s="58">
        <f t="shared" si="17"/>
        <v>34</v>
      </c>
      <c r="H146" s="58">
        <f t="shared" si="17"/>
        <v>34</v>
      </c>
    </row>
    <row r="147" spans="1:8" s="32" customFormat="1" ht="63.75" x14ac:dyDescent="0.2">
      <c r="A147" s="21" t="s">
        <v>93</v>
      </c>
      <c r="B147" s="21" t="s">
        <v>121</v>
      </c>
      <c r="C147" s="21" t="s">
        <v>513</v>
      </c>
      <c r="D147" s="16"/>
      <c r="E147" s="98" t="s">
        <v>338</v>
      </c>
      <c r="F147" s="41">
        <f t="shared" si="17"/>
        <v>34</v>
      </c>
      <c r="G147" s="41">
        <f t="shared" si="17"/>
        <v>34</v>
      </c>
      <c r="H147" s="41">
        <f t="shared" si="17"/>
        <v>34</v>
      </c>
    </row>
    <row r="148" spans="1:8" s="32" customFormat="1" ht="25.5" x14ac:dyDescent="0.2">
      <c r="A148" s="21" t="s">
        <v>93</v>
      </c>
      <c r="B148" s="21" t="s">
        <v>121</v>
      </c>
      <c r="C148" s="21" t="s">
        <v>513</v>
      </c>
      <c r="D148" s="82" t="s">
        <v>64</v>
      </c>
      <c r="E148" s="55" t="s">
        <v>130</v>
      </c>
      <c r="F148" s="41">
        <v>34</v>
      </c>
      <c r="G148" s="41">
        <v>34</v>
      </c>
      <c r="H148" s="41">
        <v>34</v>
      </c>
    </row>
    <row r="149" spans="1:8" s="32" customFormat="1" ht="89.25" customHeight="1" x14ac:dyDescent="0.2">
      <c r="A149" s="73" t="s">
        <v>93</v>
      </c>
      <c r="B149" s="73" t="s">
        <v>121</v>
      </c>
      <c r="C149" s="73" t="s">
        <v>227</v>
      </c>
      <c r="D149" s="16"/>
      <c r="E149" s="64" t="s">
        <v>588</v>
      </c>
      <c r="F149" s="96">
        <f>F150+F153</f>
        <v>0</v>
      </c>
      <c r="G149" s="96">
        <f>G150+G153</f>
        <v>29.4</v>
      </c>
      <c r="H149" s="96">
        <f>H150+H153</f>
        <v>0</v>
      </c>
    </row>
    <row r="150" spans="1:8" s="32" customFormat="1" ht="51" x14ac:dyDescent="0.2">
      <c r="A150" s="21" t="s">
        <v>93</v>
      </c>
      <c r="B150" s="21" t="s">
        <v>121</v>
      </c>
      <c r="C150" s="52" t="s">
        <v>228</v>
      </c>
      <c r="D150" s="16"/>
      <c r="E150" s="48" t="s">
        <v>229</v>
      </c>
      <c r="F150" s="58">
        <f>F151+F153</f>
        <v>0</v>
      </c>
      <c r="G150" s="58">
        <f>G151</f>
        <v>23.4</v>
      </c>
      <c r="H150" s="58">
        <f>H151</f>
        <v>0</v>
      </c>
    </row>
    <row r="151" spans="1:8" s="32" customFormat="1" ht="38.25" x14ac:dyDescent="0.2">
      <c r="A151" s="21" t="s">
        <v>93</v>
      </c>
      <c r="B151" s="21" t="s">
        <v>121</v>
      </c>
      <c r="C151" s="21" t="s">
        <v>532</v>
      </c>
      <c r="D151" s="16"/>
      <c r="E151" s="98" t="s">
        <v>357</v>
      </c>
      <c r="F151" s="94">
        <f>F152</f>
        <v>0</v>
      </c>
      <c r="G151" s="94">
        <f>G152</f>
        <v>23.4</v>
      </c>
      <c r="H151" s="94">
        <f>H152</f>
        <v>0</v>
      </c>
    </row>
    <row r="152" spans="1:8" s="32" customFormat="1" ht="38.25" x14ac:dyDescent="0.2">
      <c r="A152" s="21" t="s">
        <v>93</v>
      </c>
      <c r="B152" s="21" t="s">
        <v>121</v>
      </c>
      <c r="C152" s="21" t="s">
        <v>532</v>
      </c>
      <c r="D152" s="82" t="s">
        <v>211</v>
      </c>
      <c r="E152" s="98" t="s">
        <v>212</v>
      </c>
      <c r="F152" s="41">
        <v>0</v>
      </c>
      <c r="G152" s="41">
        <v>23.4</v>
      </c>
      <c r="H152" s="41">
        <v>0</v>
      </c>
    </row>
    <row r="153" spans="1:8" s="32" customFormat="1" ht="25.5" x14ac:dyDescent="0.2">
      <c r="A153" s="21" t="s">
        <v>93</v>
      </c>
      <c r="B153" s="21" t="s">
        <v>121</v>
      </c>
      <c r="C153" s="21" t="s">
        <v>533</v>
      </c>
      <c r="D153" s="16"/>
      <c r="E153" s="98" t="s">
        <v>358</v>
      </c>
      <c r="F153" s="94">
        <f>F154</f>
        <v>0</v>
      </c>
      <c r="G153" s="94">
        <f>G154</f>
        <v>6</v>
      </c>
      <c r="H153" s="94">
        <f>H154</f>
        <v>0</v>
      </c>
    </row>
    <row r="154" spans="1:8" s="32" customFormat="1" ht="38.25" x14ac:dyDescent="0.2">
      <c r="A154" s="21" t="s">
        <v>93</v>
      </c>
      <c r="B154" s="21" t="s">
        <v>121</v>
      </c>
      <c r="C154" s="21" t="s">
        <v>533</v>
      </c>
      <c r="D154" s="82" t="s">
        <v>211</v>
      </c>
      <c r="E154" s="98" t="s">
        <v>212</v>
      </c>
      <c r="F154" s="41">
        <v>0</v>
      </c>
      <c r="G154" s="41">
        <v>6</v>
      </c>
      <c r="H154" s="41">
        <v>0</v>
      </c>
    </row>
    <row r="155" spans="1:8" s="32" customFormat="1" ht="15.75" x14ac:dyDescent="0.25">
      <c r="A155" s="4" t="s">
        <v>94</v>
      </c>
      <c r="B155" s="3"/>
      <c r="C155" s="3"/>
      <c r="D155" s="3"/>
      <c r="E155" s="49" t="s">
        <v>100</v>
      </c>
      <c r="F155" s="92">
        <f>F156+F169+F182+F219</f>
        <v>251083.9</v>
      </c>
      <c r="G155" s="92">
        <f>G156+G169+G182+G219</f>
        <v>182614</v>
      </c>
      <c r="H155" s="92">
        <f>H156+H169+H182+H219</f>
        <v>180426.30000000002</v>
      </c>
    </row>
    <row r="156" spans="1:8" s="32" customFormat="1" ht="14.25" x14ac:dyDescent="0.2">
      <c r="A156" s="30" t="s">
        <v>94</v>
      </c>
      <c r="B156" s="30" t="s">
        <v>95</v>
      </c>
      <c r="C156" s="30"/>
      <c r="D156" s="30"/>
      <c r="E156" s="45" t="s">
        <v>103</v>
      </c>
      <c r="F156" s="40">
        <f>F157+F164</f>
        <v>4459.2</v>
      </c>
      <c r="G156" s="40">
        <f>G157+G164</f>
        <v>2222.9</v>
      </c>
      <c r="H156" s="40">
        <f>H157+H164</f>
        <v>2222.9</v>
      </c>
    </row>
    <row r="157" spans="1:8" s="32" customFormat="1" ht="89.25" x14ac:dyDescent="0.2">
      <c r="A157" s="82" t="s">
        <v>94</v>
      </c>
      <c r="B157" s="82" t="s">
        <v>95</v>
      </c>
      <c r="C157" s="73" t="s">
        <v>69</v>
      </c>
      <c r="D157" s="16"/>
      <c r="E157" s="142" t="s">
        <v>576</v>
      </c>
      <c r="F157" s="96">
        <f>F158</f>
        <v>3298.7</v>
      </c>
      <c r="G157" s="96">
        <f>G158</f>
        <v>2159.9</v>
      </c>
      <c r="H157" s="96">
        <f>H158</f>
        <v>2159.9</v>
      </c>
    </row>
    <row r="158" spans="1:8" s="32" customFormat="1" ht="38.25" x14ac:dyDescent="0.2">
      <c r="A158" s="82" t="s">
        <v>94</v>
      </c>
      <c r="B158" s="82" t="s">
        <v>95</v>
      </c>
      <c r="C158" s="52" t="s">
        <v>163</v>
      </c>
      <c r="D158" s="16"/>
      <c r="E158" s="99" t="s">
        <v>162</v>
      </c>
      <c r="F158" s="39">
        <f>F159+F161</f>
        <v>3298.7</v>
      </c>
      <c r="G158" s="39">
        <f t="shared" ref="G158:H158" si="18">G159+G161</f>
        <v>2159.9</v>
      </c>
      <c r="H158" s="39">
        <f t="shared" si="18"/>
        <v>2159.9</v>
      </c>
    </row>
    <row r="159" spans="1:8" s="32" customFormat="1" ht="38.25" x14ac:dyDescent="0.2">
      <c r="A159" s="82" t="s">
        <v>94</v>
      </c>
      <c r="B159" s="82" t="s">
        <v>95</v>
      </c>
      <c r="C159" s="21" t="s">
        <v>619</v>
      </c>
      <c r="D159" s="16"/>
      <c r="E159" s="99" t="s">
        <v>644</v>
      </c>
      <c r="F159" s="39">
        <f>F160</f>
        <v>2400</v>
      </c>
      <c r="G159" s="39">
        <f t="shared" ref="G159" si="19">G160</f>
        <v>2159.9</v>
      </c>
      <c r="H159" s="39">
        <f t="shared" ref="H159" si="20">H160</f>
        <v>2159.9</v>
      </c>
    </row>
    <row r="160" spans="1:8" s="32" customFormat="1" ht="38.25" x14ac:dyDescent="0.2">
      <c r="A160" s="82" t="s">
        <v>94</v>
      </c>
      <c r="B160" s="82" t="s">
        <v>95</v>
      </c>
      <c r="C160" s="21" t="s">
        <v>619</v>
      </c>
      <c r="D160" s="82" t="s">
        <v>211</v>
      </c>
      <c r="E160" s="98" t="s">
        <v>212</v>
      </c>
      <c r="F160" s="39">
        <f>1500+890.1+9.9</f>
        <v>2400</v>
      </c>
      <c r="G160" s="39">
        <v>2159.9</v>
      </c>
      <c r="H160" s="39">
        <v>2159.9</v>
      </c>
    </row>
    <row r="161" spans="1:12" s="32" customFormat="1" ht="89.25" x14ac:dyDescent="0.2">
      <c r="A161" s="82" t="s">
        <v>94</v>
      </c>
      <c r="B161" s="82" t="s">
        <v>95</v>
      </c>
      <c r="C161" s="21" t="s">
        <v>760</v>
      </c>
      <c r="D161" s="82"/>
      <c r="E161" s="98" t="s">
        <v>761</v>
      </c>
      <c r="F161" s="39">
        <f>SUM(F162:F163)</f>
        <v>898.7</v>
      </c>
      <c r="G161" s="39">
        <f t="shared" ref="G161:H161" si="21">G162</f>
        <v>0</v>
      </c>
      <c r="H161" s="39">
        <f t="shared" si="21"/>
        <v>0</v>
      </c>
    </row>
    <row r="162" spans="1:12" s="32" customFormat="1" ht="38.25" x14ac:dyDescent="0.2">
      <c r="A162" s="82" t="s">
        <v>94</v>
      </c>
      <c r="B162" s="82" t="s">
        <v>95</v>
      </c>
      <c r="C162" s="21" t="s">
        <v>760</v>
      </c>
      <c r="D162" s="82" t="s">
        <v>211</v>
      </c>
      <c r="E162" s="98" t="s">
        <v>212</v>
      </c>
      <c r="F162" s="39">
        <v>738.2</v>
      </c>
      <c r="G162" s="39">
        <v>0</v>
      </c>
      <c r="H162" s="39">
        <v>0</v>
      </c>
    </row>
    <row r="163" spans="1:12" s="32" customFormat="1" ht="14.25" x14ac:dyDescent="0.2">
      <c r="A163" s="82" t="s">
        <v>94</v>
      </c>
      <c r="B163" s="82" t="s">
        <v>95</v>
      </c>
      <c r="C163" s="21" t="s">
        <v>760</v>
      </c>
      <c r="D163" s="82" t="s">
        <v>750</v>
      </c>
      <c r="E163" s="98" t="s">
        <v>751</v>
      </c>
      <c r="F163" s="39">
        <v>160.5</v>
      </c>
      <c r="G163" s="39">
        <v>0</v>
      </c>
      <c r="H163" s="39">
        <v>0</v>
      </c>
    </row>
    <row r="164" spans="1:12" s="32" customFormat="1" ht="89.25" x14ac:dyDescent="0.2">
      <c r="A164" s="5" t="s">
        <v>94</v>
      </c>
      <c r="B164" s="5" t="s">
        <v>95</v>
      </c>
      <c r="C164" s="76">
        <v>400000000</v>
      </c>
      <c r="D164" s="30"/>
      <c r="E164" s="141" t="s">
        <v>575</v>
      </c>
      <c r="F164" s="96">
        <f t="shared" ref="F164:H167" si="22">F165</f>
        <v>1160.5</v>
      </c>
      <c r="G164" s="96">
        <f t="shared" si="22"/>
        <v>63</v>
      </c>
      <c r="H164" s="96">
        <f t="shared" si="22"/>
        <v>63</v>
      </c>
    </row>
    <row r="165" spans="1:12" s="32" customFormat="1" ht="51.75" customHeight="1" x14ac:dyDescent="0.2">
      <c r="A165" s="47" t="s">
        <v>94</v>
      </c>
      <c r="B165" s="47" t="s">
        <v>95</v>
      </c>
      <c r="C165" s="75">
        <v>410000000</v>
      </c>
      <c r="D165" s="30"/>
      <c r="E165" s="46" t="s">
        <v>462</v>
      </c>
      <c r="F165" s="93">
        <f t="shared" si="22"/>
        <v>1160.5</v>
      </c>
      <c r="G165" s="93">
        <f t="shared" si="22"/>
        <v>63</v>
      </c>
      <c r="H165" s="93">
        <f t="shared" si="22"/>
        <v>63</v>
      </c>
    </row>
    <row r="166" spans="1:12" s="32" customFormat="1" ht="51" x14ac:dyDescent="0.2">
      <c r="A166" s="82" t="s">
        <v>94</v>
      </c>
      <c r="B166" s="82" t="s">
        <v>95</v>
      </c>
      <c r="C166" s="74">
        <v>410100000</v>
      </c>
      <c r="D166" s="30"/>
      <c r="E166" s="97" t="s">
        <v>463</v>
      </c>
      <c r="F166" s="93">
        <f t="shared" si="22"/>
        <v>1160.5</v>
      </c>
      <c r="G166" s="93">
        <f t="shared" si="22"/>
        <v>63</v>
      </c>
      <c r="H166" s="93">
        <f t="shared" si="22"/>
        <v>63</v>
      </c>
    </row>
    <row r="167" spans="1:12" s="32" customFormat="1" ht="25.5" x14ac:dyDescent="0.2">
      <c r="A167" s="82" t="s">
        <v>94</v>
      </c>
      <c r="B167" s="82" t="s">
        <v>95</v>
      </c>
      <c r="C167" s="135" t="s">
        <v>629</v>
      </c>
      <c r="D167" s="16"/>
      <c r="E167" s="99" t="s">
        <v>169</v>
      </c>
      <c r="F167" s="39">
        <f>F168</f>
        <v>1160.5</v>
      </c>
      <c r="G167" s="39">
        <f t="shared" si="22"/>
        <v>63</v>
      </c>
      <c r="H167" s="39">
        <f t="shared" si="22"/>
        <v>63</v>
      </c>
    </row>
    <row r="168" spans="1:12" s="32" customFormat="1" ht="38.25" x14ac:dyDescent="0.2">
      <c r="A168" s="82" t="s">
        <v>94</v>
      </c>
      <c r="B168" s="82" t="s">
        <v>95</v>
      </c>
      <c r="C168" s="135" t="s">
        <v>629</v>
      </c>
      <c r="D168" s="82" t="s">
        <v>211</v>
      </c>
      <c r="E168" s="98" t="s">
        <v>212</v>
      </c>
      <c r="F168" s="39">
        <v>1160.5</v>
      </c>
      <c r="G168" s="39">
        <v>63</v>
      </c>
      <c r="H168" s="39">
        <v>63</v>
      </c>
    </row>
    <row r="169" spans="1:12" ht="14.25" x14ac:dyDescent="0.2">
      <c r="A169" s="30" t="s">
        <v>94</v>
      </c>
      <c r="B169" s="30" t="s">
        <v>101</v>
      </c>
      <c r="C169" s="30"/>
      <c r="D169" s="30"/>
      <c r="E169" s="27" t="s">
        <v>1</v>
      </c>
      <c r="F169" s="40">
        <f t="shared" ref="F169:H170" si="23">F170</f>
        <v>30563.8</v>
      </c>
      <c r="G169" s="40">
        <f t="shared" si="23"/>
        <v>30503.600000000002</v>
      </c>
      <c r="H169" s="40">
        <f t="shared" si="23"/>
        <v>30447.100000000002</v>
      </c>
    </row>
    <row r="170" spans="1:12" ht="102" x14ac:dyDescent="0.2">
      <c r="A170" s="5" t="s">
        <v>94</v>
      </c>
      <c r="B170" s="5" t="s">
        <v>101</v>
      </c>
      <c r="C170" s="73" t="s">
        <v>67</v>
      </c>
      <c r="D170" s="30"/>
      <c r="E170" s="141" t="s">
        <v>581</v>
      </c>
      <c r="F170" s="96">
        <f t="shared" si="23"/>
        <v>30563.8</v>
      </c>
      <c r="G170" s="96">
        <f t="shared" si="23"/>
        <v>30503.600000000002</v>
      </c>
      <c r="H170" s="96">
        <f t="shared" si="23"/>
        <v>30447.100000000002</v>
      </c>
    </row>
    <row r="171" spans="1:12" ht="63.75" x14ac:dyDescent="0.2">
      <c r="A171" s="16" t="s">
        <v>94</v>
      </c>
      <c r="B171" s="16" t="s">
        <v>101</v>
      </c>
      <c r="C171" s="52" t="s">
        <v>214</v>
      </c>
      <c r="D171" s="30"/>
      <c r="E171" s="46" t="s">
        <v>186</v>
      </c>
      <c r="F171" s="93">
        <f>F172+F174+F176+F178+F180</f>
        <v>30563.8</v>
      </c>
      <c r="G171" s="93">
        <f t="shared" ref="G171:H171" si="24">G172+G174+G176+G178+G180</f>
        <v>30503.600000000002</v>
      </c>
      <c r="H171" s="93">
        <f t="shared" si="24"/>
        <v>30447.100000000002</v>
      </c>
    </row>
    <row r="172" spans="1:12" ht="76.5" x14ac:dyDescent="0.2">
      <c r="A172" s="16" t="s">
        <v>94</v>
      </c>
      <c r="B172" s="16" t="s">
        <v>101</v>
      </c>
      <c r="C172" s="74" t="s">
        <v>304</v>
      </c>
      <c r="D172" s="30"/>
      <c r="E172" s="97" t="s">
        <v>215</v>
      </c>
      <c r="F172" s="39">
        <f>F173</f>
        <v>5040</v>
      </c>
      <c r="G172" s="39">
        <f>G173</f>
        <v>5055.2</v>
      </c>
      <c r="H172" s="39">
        <f>H173</f>
        <v>5054.8999999999996</v>
      </c>
      <c r="J172" s="103"/>
      <c r="K172" s="103"/>
      <c r="L172" s="103"/>
    </row>
    <row r="173" spans="1:12" ht="38.25" x14ac:dyDescent="0.2">
      <c r="A173" s="16" t="s">
        <v>94</v>
      </c>
      <c r="B173" s="16" t="s">
        <v>101</v>
      </c>
      <c r="C173" s="74" t="s">
        <v>304</v>
      </c>
      <c r="D173" s="82" t="s">
        <v>211</v>
      </c>
      <c r="E173" s="98" t="s">
        <v>212</v>
      </c>
      <c r="F173" s="39">
        <v>5040</v>
      </c>
      <c r="G173" s="39">
        <v>5055.2</v>
      </c>
      <c r="H173" s="39">
        <v>5054.8999999999996</v>
      </c>
    </row>
    <row r="174" spans="1:12" ht="50.25" customHeight="1" x14ac:dyDescent="0.2">
      <c r="A174" s="16" t="s">
        <v>94</v>
      </c>
      <c r="B174" s="16" t="s">
        <v>101</v>
      </c>
      <c r="C174" s="74">
        <v>920110300</v>
      </c>
      <c r="D174" s="16"/>
      <c r="E174" s="97" t="s">
        <v>648</v>
      </c>
      <c r="F174" s="39">
        <f>F175</f>
        <v>20160.099999999999</v>
      </c>
      <c r="G174" s="39">
        <f>G175</f>
        <v>20220.7</v>
      </c>
      <c r="H174" s="39">
        <f>H175</f>
        <v>20219.5</v>
      </c>
    </row>
    <row r="175" spans="1:12" ht="38.25" x14ac:dyDescent="0.2">
      <c r="A175" s="16" t="s">
        <v>94</v>
      </c>
      <c r="B175" s="16" t="s">
        <v>101</v>
      </c>
      <c r="C175" s="74">
        <v>920110300</v>
      </c>
      <c r="D175" s="82" t="s">
        <v>211</v>
      </c>
      <c r="E175" s="98" t="s">
        <v>212</v>
      </c>
      <c r="F175" s="39">
        <v>20160.099999999999</v>
      </c>
      <c r="G175" s="39">
        <v>20220.7</v>
      </c>
      <c r="H175" s="39">
        <v>20219.5</v>
      </c>
    </row>
    <row r="176" spans="1:12" ht="63.75" x14ac:dyDescent="0.2">
      <c r="A176" s="16" t="s">
        <v>94</v>
      </c>
      <c r="B176" s="16" t="s">
        <v>101</v>
      </c>
      <c r="C176" s="74">
        <v>920123485</v>
      </c>
      <c r="D176" s="82"/>
      <c r="E176" s="54" t="s">
        <v>668</v>
      </c>
      <c r="F176" s="39">
        <f>F177</f>
        <v>2707.5</v>
      </c>
      <c r="G176" s="39">
        <f t="shared" ref="G176:H176" si="25">G177</f>
        <v>1413.8</v>
      </c>
      <c r="H176" s="39">
        <f t="shared" si="25"/>
        <v>1413.8</v>
      </c>
    </row>
    <row r="177" spans="1:11" ht="38.25" x14ac:dyDescent="0.2">
      <c r="A177" s="16" t="s">
        <v>94</v>
      </c>
      <c r="B177" s="16" t="s">
        <v>101</v>
      </c>
      <c r="C177" s="74">
        <v>920123485</v>
      </c>
      <c r="D177" s="82" t="s">
        <v>211</v>
      </c>
      <c r="E177" s="98" t="s">
        <v>212</v>
      </c>
      <c r="F177" s="39">
        <f>1413.8+979.2+314.5</f>
        <v>2707.5</v>
      </c>
      <c r="G177" s="39">
        <v>1413.8</v>
      </c>
      <c r="H177" s="39">
        <v>1413.8</v>
      </c>
    </row>
    <row r="178" spans="1:11" ht="63.75" x14ac:dyDescent="0.2">
      <c r="A178" s="16" t="s">
        <v>94</v>
      </c>
      <c r="B178" s="16" t="s">
        <v>101</v>
      </c>
      <c r="C178" s="74">
        <v>920123490</v>
      </c>
      <c r="D178" s="82"/>
      <c r="E178" s="54" t="s">
        <v>512</v>
      </c>
      <c r="F178" s="39">
        <f>F179</f>
        <v>0</v>
      </c>
      <c r="G178" s="39">
        <f>G179</f>
        <v>55</v>
      </c>
      <c r="H178" s="39">
        <f>H179</f>
        <v>0</v>
      </c>
    </row>
    <row r="179" spans="1:11" ht="38.25" x14ac:dyDescent="0.2">
      <c r="A179" s="16" t="s">
        <v>94</v>
      </c>
      <c r="B179" s="16" t="s">
        <v>101</v>
      </c>
      <c r="C179" s="74">
        <v>920123490</v>
      </c>
      <c r="D179" s="82" t="s">
        <v>211</v>
      </c>
      <c r="E179" s="98" t="s">
        <v>212</v>
      </c>
      <c r="F179" s="39">
        <v>0</v>
      </c>
      <c r="G179" s="39">
        <v>55</v>
      </c>
      <c r="H179" s="39">
        <v>0</v>
      </c>
    </row>
    <row r="180" spans="1:11" ht="89.25" x14ac:dyDescent="0.2">
      <c r="A180" s="16" t="s">
        <v>94</v>
      </c>
      <c r="B180" s="16" t="s">
        <v>101</v>
      </c>
      <c r="C180" s="74">
        <v>920123495</v>
      </c>
      <c r="D180" s="82"/>
      <c r="E180" s="54" t="s">
        <v>561</v>
      </c>
      <c r="F180" s="39">
        <f>F181</f>
        <v>2656.2</v>
      </c>
      <c r="G180" s="39">
        <f>G181</f>
        <v>3758.9</v>
      </c>
      <c r="H180" s="39">
        <f>H181</f>
        <v>3758.9</v>
      </c>
    </row>
    <row r="181" spans="1:11" ht="38.25" x14ac:dyDescent="0.2">
      <c r="A181" s="16" t="s">
        <v>94</v>
      </c>
      <c r="B181" s="16" t="s">
        <v>101</v>
      </c>
      <c r="C181" s="74">
        <v>920123495</v>
      </c>
      <c r="D181" s="82" t="s">
        <v>211</v>
      </c>
      <c r="E181" s="98" t="s">
        <v>212</v>
      </c>
      <c r="F181" s="39">
        <f>2500+156.2</f>
        <v>2656.2</v>
      </c>
      <c r="G181" s="39">
        <v>3758.9</v>
      </c>
      <c r="H181" s="39">
        <v>3758.9</v>
      </c>
    </row>
    <row r="182" spans="1:11" ht="28.5" x14ac:dyDescent="0.2">
      <c r="A182" s="30" t="s">
        <v>94</v>
      </c>
      <c r="B182" s="30" t="s">
        <v>99</v>
      </c>
      <c r="C182" s="30"/>
      <c r="D182" s="30"/>
      <c r="E182" s="50" t="s">
        <v>198</v>
      </c>
      <c r="F182" s="40">
        <f>F183+F205</f>
        <v>213368.9</v>
      </c>
      <c r="G182" s="40">
        <f>G183+G205</f>
        <v>148481.29999999999</v>
      </c>
      <c r="H182" s="40">
        <f>H183+H205</f>
        <v>146350.1</v>
      </c>
    </row>
    <row r="183" spans="1:11" ht="102" x14ac:dyDescent="0.2">
      <c r="A183" s="5" t="s">
        <v>94</v>
      </c>
      <c r="B183" s="5" t="s">
        <v>99</v>
      </c>
      <c r="C183" s="73" t="s">
        <v>67</v>
      </c>
      <c r="D183" s="30"/>
      <c r="E183" s="141" t="s">
        <v>581</v>
      </c>
      <c r="F183" s="96">
        <f>F184</f>
        <v>208423</v>
      </c>
      <c r="G183" s="96">
        <f>G184</f>
        <v>141596.4</v>
      </c>
      <c r="H183" s="96">
        <f>H184</f>
        <v>141652.9</v>
      </c>
    </row>
    <row r="184" spans="1:11" ht="63.75" x14ac:dyDescent="0.2">
      <c r="A184" s="16" t="s">
        <v>94</v>
      </c>
      <c r="B184" s="16" t="s">
        <v>99</v>
      </c>
      <c r="C184" s="52" t="s">
        <v>68</v>
      </c>
      <c r="D184" s="30"/>
      <c r="E184" s="46" t="s">
        <v>165</v>
      </c>
      <c r="F184" s="93">
        <f>F185+F187+F189+F191+F193+F195+F197+F199+F201+F203</f>
        <v>208423</v>
      </c>
      <c r="G184" s="93">
        <f t="shared" ref="G184:H184" si="26">G185+G187+G189+G191+G193+G195+G197+G199+G201+G203</f>
        <v>141596.4</v>
      </c>
      <c r="H184" s="93">
        <f t="shared" si="26"/>
        <v>141652.9</v>
      </c>
    </row>
    <row r="185" spans="1:11" ht="89.25" x14ac:dyDescent="0.2">
      <c r="A185" s="16" t="s">
        <v>94</v>
      </c>
      <c r="B185" s="16" t="s">
        <v>99</v>
      </c>
      <c r="C185" s="74">
        <v>910123405</v>
      </c>
      <c r="D185" s="30"/>
      <c r="E185" s="97" t="s">
        <v>294</v>
      </c>
      <c r="F185" s="39">
        <f>F186</f>
        <v>15159.4</v>
      </c>
      <c r="G185" s="39">
        <f>G186</f>
        <v>15386.8</v>
      </c>
      <c r="H185" s="39">
        <f>H186</f>
        <v>16489.8</v>
      </c>
    </row>
    <row r="186" spans="1:11" ht="38.25" x14ac:dyDescent="0.2">
      <c r="A186" s="16" t="s">
        <v>94</v>
      </c>
      <c r="B186" s="16" t="s">
        <v>99</v>
      </c>
      <c r="C186" s="74">
        <v>910123405</v>
      </c>
      <c r="D186" s="82" t="s">
        <v>211</v>
      </c>
      <c r="E186" s="98" t="s">
        <v>212</v>
      </c>
      <c r="F186" s="39">
        <f>15759.4-600</f>
        <v>15159.4</v>
      </c>
      <c r="G186" s="39">
        <v>15386.8</v>
      </c>
      <c r="H186" s="39">
        <v>16489.8</v>
      </c>
    </row>
    <row r="187" spans="1:11" ht="64.5" customHeight="1" x14ac:dyDescent="0.2">
      <c r="A187" s="16" t="s">
        <v>94</v>
      </c>
      <c r="B187" s="16" t="s">
        <v>99</v>
      </c>
      <c r="C187" s="74">
        <v>910110520</v>
      </c>
      <c r="D187" s="30"/>
      <c r="E187" s="97" t="s">
        <v>184</v>
      </c>
      <c r="F187" s="39">
        <f>F188</f>
        <v>25070.9</v>
      </c>
      <c r="G187" s="39">
        <f>G188</f>
        <v>26073.7</v>
      </c>
      <c r="H187" s="39">
        <f>H188</f>
        <v>27116.6</v>
      </c>
      <c r="J187" s="103"/>
      <c r="K187" s="103"/>
    </row>
    <row r="188" spans="1:11" ht="38.25" x14ac:dyDescent="0.2">
      <c r="A188" s="16" t="s">
        <v>94</v>
      </c>
      <c r="B188" s="16" t="s">
        <v>99</v>
      </c>
      <c r="C188" s="74">
        <v>910110520</v>
      </c>
      <c r="D188" s="82" t="s">
        <v>211</v>
      </c>
      <c r="E188" s="98" t="s">
        <v>212</v>
      </c>
      <c r="F188" s="1">
        <v>25070.9</v>
      </c>
      <c r="G188" s="39">
        <v>26073.7</v>
      </c>
      <c r="H188" s="1">
        <v>27116.6</v>
      </c>
    </row>
    <row r="189" spans="1:11" ht="25.5" x14ac:dyDescent="0.2">
      <c r="A189" s="16" t="s">
        <v>94</v>
      </c>
      <c r="B189" s="16" t="s">
        <v>99</v>
      </c>
      <c r="C189" s="74">
        <v>910123410</v>
      </c>
      <c r="D189" s="16"/>
      <c r="E189" s="98" t="s">
        <v>185</v>
      </c>
      <c r="F189" s="39">
        <f>F190</f>
        <v>25159.8</v>
      </c>
      <c r="G189" s="39">
        <f>G190</f>
        <v>21684.6</v>
      </c>
      <c r="H189" s="39">
        <f>H190</f>
        <v>16457</v>
      </c>
    </row>
    <row r="190" spans="1:11" ht="38.25" x14ac:dyDescent="0.2">
      <c r="A190" s="16" t="s">
        <v>94</v>
      </c>
      <c r="B190" s="16" t="s">
        <v>99</v>
      </c>
      <c r="C190" s="74">
        <v>910123410</v>
      </c>
      <c r="D190" s="82" t="s">
        <v>211</v>
      </c>
      <c r="E190" s="98" t="s">
        <v>212</v>
      </c>
      <c r="F190" s="39">
        <f>25695.2-535.4</f>
        <v>25159.8</v>
      </c>
      <c r="G190" s="39">
        <v>21684.6</v>
      </c>
      <c r="H190" s="39">
        <v>16457</v>
      </c>
    </row>
    <row r="191" spans="1:11" ht="102" x14ac:dyDescent="0.2">
      <c r="A191" s="16" t="s">
        <v>94</v>
      </c>
      <c r="B191" s="16" t="s">
        <v>99</v>
      </c>
      <c r="C191" s="74">
        <v>910123415</v>
      </c>
      <c r="D191" s="82"/>
      <c r="E191" s="130" t="s">
        <v>726</v>
      </c>
      <c r="F191" s="39">
        <f>F192</f>
        <v>2250</v>
      </c>
      <c r="G191" s="39">
        <f t="shared" ref="G191:H191" si="27">G192</f>
        <v>0</v>
      </c>
      <c r="H191" s="39">
        <f t="shared" si="27"/>
        <v>0</v>
      </c>
    </row>
    <row r="192" spans="1:11" ht="38.25" x14ac:dyDescent="0.2">
      <c r="A192" s="16" t="s">
        <v>94</v>
      </c>
      <c r="B192" s="16" t="s">
        <v>99</v>
      </c>
      <c r="C192" s="74">
        <v>910123415</v>
      </c>
      <c r="D192" s="82" t="s">
        <v>211</v>
      </c>
      <c r="E192" s="98" t="s">
        <v>212</v>
      </c>
      <c r="F192" s="39">
        <v>2250</v>
      </c>
      <c r="G192" s="39">
        <v>0</v>
      </c>
      <c r="H192" s="39">
        <v>0</v>
      </c>
    </row>
    <row r="193" spans="1:8" ht="51" x14ac:dyDescent="0.2">
      <c r="A193" s="16" t="s">
        <v>94</v>
      </c>
      <c r="B193" s="16" t="s">
        <v>99</v>
      </c>
      <c r="C193" s="74" t="s">
        <v>346</v>
      </c>
      <c r="D193" s="82"/>
      <c r="E193" s="123" t="s">
        <v>345</v>
      </c>
      <c r="F193" s="39">
        <f>F194</f>
        <v>1157.0999999999999</v>
      </c>
      <c r="G193" s="39">
        <f>G194</f>
        <v>1267.4000000000001</v>
      </c>
      <c r="H193" s="39">
        <f>H194</f>
        <v>1318.2</v>
      </c>
    </row>
    <row r="194" spans="1:8" ht="38.25" x14ac:dyDescent="0.2">
      <c r="A194" s="16" t="s">
        <v>94</v>
      </c>
      <c r="B194" s="16" t="s">
        <v>99</v>
      </c>
      <c r="C194" s="74" t="s">
        <v>346</v>
      </c>
      <c r="D194" s="82" t="s">
        <v>211</v>
      </c>
      <c r="E194" s="98" t="s">
        <v>212</v>
      </c>
      <c r="F194" s="39">
        <f>1218.7+452.9+200-714.5</f>
        <v>1157.0999999999999</v>
      </c>
      <c r="G194" s="39">
        <v>1267.4000000000001</v>
      </c>
      <c r="H194" s="39">
        <v>1318.2</v>
      </c>
    </row>
    <row r="195" spans="1:8" ht="63.75" x14ac:dyDescent="0.2">
      <c r="A195" s="16" t="s">
        <v>94</v>
      </c>
      <c r="B195" s="16" t="s">
        <v>99</v>
      </c>
      <c r="C195" s="137" t="s">
        <v>509</v>
      </c>
      <c r="D195" s="82"/>
      <c r="E195" s="123" t="s">
        <v>347</v>
      </c>
      <c r="F195" s="39">
        <f>F196</f>
        <v>10968</v>
      </c>
      <c r="G195" s="39">
        <f>G196</f>
        <v>11406.7</v>
      </c>
      <c r="H195" s="39">
        <f>H196</f>
        <v>11863</v>
      </c>
    </row>
    <row r="196" spans="1:8" ht="38.25" x14ac:dyDescent="0.2">
      <c r="A196" s="16" t="s">
        <v>94</v>
      </c>
      <c r="B196" s="16" t="s">
        <v>99</v>
      </c>
      <c r="C196" s="137" t="s">
        <v>509</v>
      </c>
      <c r="D196" s="82" t="s">
        <v>211</v>
      </c>
      <c r="E196" s="98" t="s">
        <v>212</v>
      </c>
      <c r="F196" s="39">
        <v>10968</v>
      </c>
      <c r="G196" s="39">
        <v>11406.7</v>
      </c>
      <c r="H196" s="39">
        <v>11863</v>
      </c>
    </row>
    <row r="197" spans="1:8" ht="25.5" x14ac:dyDescent="0.2">
      <c r="A197" s="16" t="s">
        <v>94</v>
      </c>
      <c r="B197" s="16" t="s">
        <v>99</v>
      </c>
      <c r="C197" s="74" t="s">
        <v>342</v>
      </c>
      <c r="D197" s="82"/>
      <c r="E197" s="98" t="s">
        <v>343</v>
      </c>
      <c r="F197" s="39">
        <f>F198</f>
        <v>13904.5</v>
      </c>
      <c r="G197" s="39">
        <f>G198</f>
        <v>6577.7</v>
      </c>
      <c r="H197" s="39">
        <f>H198</f>
        <v>6840.8</v>
      </c>
    </row>
    <row r="198" spans="1:8" ht="38.25" x14ac:dyDescent="0.2">
      <c r="A198" s="16" t="s">
        <v>94</v>
      </c>
      <c r="B198" s="16" t="s">
        <v>99</v>
      </c>
      <c r="C198" s="74" t="s">
        <v>342</v>
      </c>
      <c r="D198" s="82" t="s">
        <v>211</v>
      </c>
      <c r="E198" s="98" t="s">
        <v>212</v>
      </c>
      <c r="F198" s="39">
        <f>8777.9+6107.5-980.9</f>
        <v>13904.5</v>
      </c>
      <c r="G198" s="39">
        <v>6577.7</v>
      </c>
      <c r="H198" s="39">
        <v>6840.8</v>
      </c>
    </row>
    <row r="199" spans="1:8" ht="25.5" x14ac:dyDescent="0.2">
      <c r="A199" s="16" t="s">
        <v>94</v>
      </c>
      <c r="B199" s="16" t="s">
        <v>99</v>
      </c>
      <c r="C199" s="139" t="s">
        <v>510</v>
      </c>
      <c r="D199" s="82"/>
      <c r="E199" s="98" t="s">
        <v>344</v>
      </c>
      <c r="F199" s="39">
        <f>F200</f>
        <v>101125.1</v>
      </c>
      <c r="G199" s="39">
        <f>G200</f>
        <v>59199.5</v>
      </c>
      <c r="H199" s="39">
        <f>H200</f>
        <v>61567.5</v>
      </c>
    </row>
    <row r="200" spans="1:8" ht="38.25" x14ac:dyDescent="0.2">
      <c r="A200" s="16" t="s">
        <v>94</v>
      </c>
      <c r="B200" s="16" t="s">
        <v>99</v>
      </c>
      <c r="C200" s="139" t="s">
        <v>510</v>
      </c>
      <c r="D200" s="82" t="s">
        <v>211</v>
      </c>
      <c r="E200" s="98" t="s">
        <v>212</v>
      </c>
      <c r="F200" s="39">
        <f>58435.7+42689.4</f>
        <v>101125.1</v>
      </c>
      <c r="G200" s="1">
        <v>59199.5</v>
      </c>
      <c r="H200" s="1">
        <v>61567.5</v>
      </c>
    </row>
    <row r="201" spans="1:8" ht="25.5" x14ac:dyDescent="0.2">
      <c r="A201" s="16" t="s">
        <v>94</v>
      </c>
      <c r="B201" s="16" t="s">
        <v>99</v>
      </c>
      <c r="C201" s="74">
        <v>910123425</v>
      </c>
      <c r="D201" s="82"/>
      <c r="E201" s="98" t="s">
        <v>373</v>
      </c>
      <c r="F201" s="39">
        <f>F202</f>
        <v>10160.299999999999</v>
      </c>
      <c r="G201" s="39">
        <f>G202</f>
        <v>0</v>
      </c>
      <c r="H201" s="39">
        <f>H202</f>
        <v>0</v>
      </c>
    </row>
    <row r="202" spans="1:8" ht="38.25" x14ac:dyDescent="0.2">
      <c r="A202" s="16" t="s">
        <v>94</v>
      </c>
      <c r="B202" s="16" t="s">
        <v>99</v>
      </c>
      <c r="C202" s="74">
        <v>910123425</v>
      </c>
      <c r="D202" s="82" t="s">
        <v>211</v>
      </c>
      <c r="E202" s="98" t="s">
        <v>212</v>
      </c>
      <c r="F202" s="39">
        <f>2448.7+5498.9+3253.7-1041</f>
        <v>10160.299999999999</v>
      </c>
      <c r="G202" s="39">
        <v>0</v>
      </c>
      <c r="H202" s="39">
        <v>0</v>
      </c>
    </row>
    <row r="203" spans="1:8" x14ac:dyDescent="0.2">
      <c r="A203" s="16" t="s">
        <v>94</v>
      </c>
      <c r="B203" s="16" t="s">
        <v>99</v>
      </c>
      <c r="C203" s="74">
        <v>910123430</v>
      </c>
      <c r="D203" s="82"/>
      <c r="E203" s="98" t="s">
        <v>725</v>
      </c>
      <c r="F203" s="39">
        <f>F204</f>
        <v>3467.9</v>
      </c>
      <c r="G203" s="39">
        <f>G204</f>
        <v>0</v>
      </c>
      <c r="H203" s="39">
        <f>H204</f>
        <v>0</v>
      </c>
    </row>
    <row r="204" spans="1:8" ht="38.25" x14ac:dyDescent="0.2">
      <c r="A204" s="16" t="s">
        <v>94</v>
      </c>
      <c r="B204" s="16" t="s">
        <v>99</v>
      </c>
      <c r="C204" s="74">
        <v>910123430</v>
      </c>
      <c r="D204" s="82" t="s">
        <v>211</v>
      </c>
      <c r="E204" s="98" t="s">
        <v>212</v>
      </c>
      <c r="F204" s="39">
        <f>667.9+2800</f>
        <v>3467.9</v>
      </c>
      <c r="G204" s="39">
        <v>0</v>
      </c>
      <c r="H204" s="39">
        <v>0</v>
      </c>
    </row>
    <row r="205" spans="1:8" ht="88.5" customHeight="1" x14ac:dyDescent="0.2">
      <c r="A205" s="73" t="s">
        <v>94</v>
      </c>
      <c r="B205" s="73" t="s">
        <v>99</v>
      </c>
      <c r="C205" s="73" t="s">
        <v>227</v>
      </c>
      <c r="D205" s="16"/>
      <c r="E205" s="64" t="s">
        <v>588</v>
      </c>
      <c r="F205" s="96">
        <f>F206</f>
        <v>4945.8999999999996</v>
      </c>
      <c r="G205" s="96">
        <f>G206</f>
        <v>6884.9</v>
      </c>
      <c r="H205" s="96">
        <f>H206</f>
        <v>4697.2</v>
      </c>
    </row>
    <row r="206" spans="1:8" ht="51" x14ac:dyDescent="0.2">
      <c r="A206" s="21" t="s">
        <v>94</v>
      </c>
      <c r="B206" s="21" t="s">
        <v>99</v>
      </c>
      <c r="C206" s="52" t="s">
        <v>228</v>
      </c>
      <c r="D206" s="16"/>
      <c r="E206" s="48" t="s">
        <v>229</v>
      </c>
      <c r="F206" s="58">
        <f>F207+F209+F211+F213+F215+F217</f>
        <v>4945.8999999999996</v>
      </c>
      <c r="G206" s="58">
        <f t="shared" ref="G206:H206" si="28">G207+G209+G211+G213+G215+G217</f>
        <v>6884.9</v>
      </c>
      <c r="H206" s="58">
        <f t="shared" si="28"/>
        <v>4697.2</v>
      </c>
    </row>
    <row r="207" spans="1:8" ht="38.25" x14ac:dyDescent="0.2">
      <c r="A207" s="21" t="s">
        <v>94</v>
      </c>
      <c r="B207" s="21" t="s">
        <v>99</v>
      </c>
      <c r="C207" s="21" t="s">
        <v>530</v>
      </c>
      <c r="D207" s="82"/>
      <c r="E207" s="98" t="s">
        <v>339</v>
      </c>
      <c r="F207" s="41">
        <f>F208</f>
        <v>0</v>
      </c>
      <c r="G207" s="41">
        <f>G208</f>
        <v>2381.1999999999998</v>
      </c>
      <c r="H207" s="41">
        <f>H208</f>
        <v>0</v>
      </c>
    </row>
    <row r="208" spans="1:8" ht="38.25" x14ac:dyDescent="0.2">
      <c r="A208" s="21" t="s">
        <v>94</v>
      </c>
      <c r="B208" s="21" t="s">
        <v>99</v>
      </c>
      <c r="C208" s="21" t="s">
        <v>530</v>
      </c>
      <c r="D208" s="82" t="s">
        <v>211</v>
      </c>
      <c r="E208" s="98" t="s">
        <v>212</v>
      </c>
      <c r="F208" s="41">
        <v>0</v>
      </c>
      <c r="G208" s="41">
        <v>2381.1999999999998</v>
      </c>
      <c r="H208" s="41">
        <v>0</v>
      </c>
    </row>
    <row r="209" spans="1:12" ht="25.5" x14ac:dyDescent="0.2">
      <c r="A209" s="21" t="s">
        <v>94</v>
      </c>
      <c r="B209" s="21" t="s">
        <v>99</v>
      </c>
      <c r="C209" s="21" t="s">
        <v>688</v>
      </c>
      <c r="D209" s="82"/>
      <c r="E209" s="98" t="s">
        <v>689</v>
      </c>
      <c r="F209" s="41">
        <f>F210</f>
        <v>0</v>
      </c>
      <c r="G209" s="41">
        <f t="shared" ref="G209:H209" si="29">G210</f>
        <v>0</v>
      </c>
      <c r="H209" s="41">
        <f t="shared" si="29"/>
        <v>429.4</v>
      </c>
    </row>
    <row r="210" spans="1:12" ht="38.25" x14ac:dyDescent="0.2">
      <c r="A210" s="21" t="s">
        <v>94</v>
      </c>
      <c r="B210" s="21" t="s">
        <v>99</v>
      </c>
      <c r="C210" s="21" t="s">
        <v>688</v>
      </c>
      <c r="D210" s="82" t="s">
        <v>211</v>
      </c>
      <c r="E210" s="98" t="s">
        <v>212</v>
      </c>
      <c r="F210" s="41">
        <v>0</v>
      </c>
      <c r="G210" s="41">
        <v>0</v>
      </c>
      <c r="H210" s="41">
        <v>429.4</v>
      </c>
    </row>
    <row r="211" spans="1:12" ht="25.5" x14ac:dyDescent="0.2">
      <c r="A211" s="21" t="s">
        <v>94</v>
      </c>
      <c r="B211" s="21" t="s">
        <v>99</v>
      </c>
      <c r="C211" s="21" t="s">
        <v>531</v>
      </c>
      <c r="D211" s="16"/>
      <c r="E211" s="98" t="s">
        <v>329</v>
      </c>
      <c r="F211" s="41">
        <f>F212</f>
        <v>400</v>
      </c>
      <c r="G211" s="41">
        <f>G212</f>
        <v>400</v>
      </c>
      <c r="H211" s="41">
        <f>H212</f>
        <v>0</v>
      </c>
    </row>
    <row r="212" spans="1:12" ht="38.25" x14ac:dyDescent="0.2">
      <c r="A212" s="21" t="s">
        <v>94</v>
      </c>
      <c r="B212" s="21" t="s">
        <v>99</v>
      </c>
      <c r="C212" s="21" t="s">
        <v>531</v>
      </c>
      <c r="D212" s="82" t="s">
        <v>211</v>
      </c>
      <c r="E212" s="98" t="s">
        <v>212</v>
      </c>
      <c r="F212" s="41">
        <v>400</v>
      </c>
      <c r="G212" s="41">
        <v>400</v>
      </c>
      <c r="H212" s="41">
        <v>0</v>
      </c>
    </row>
    <row r="213" spans="1:12" x14ac:dyDescent="0.2">
      <c r="A213" s="21" t="s">
        <v>94</v>
      </c>
      <c r="B213" s="21" t="s">
        <v>99</v>
      </c>
      <c r="C213" s="21" t="s">
        <v>630</v>
      </c>
      <c r="D213" s="82"/>
      <c r="E213" s="98" t="s">
        <v>598</v>
      </c>
      <c r="F213" s="41">
        <f>F214</f>
        <v>600</v>
      </c>
      <c r="G213" s="41">
        <f t="shared" ref="G213:H213" si="30">G214</f>
        <v>0</v>
      </c>
      <c r="H213" s="41">
        <f t="shared" si="30"/>
        <v>0</v>
      </c>
    </row>
    <row r="214" spans="1:12" ht="38.25" x14ac:dyDescent="0.2">
      <c r="A214" s="21" t="s">
        <v>94</v>
      </c>
      <c r="B214" s="21" t="s">
        <v>99</v>
      </c>
      <c r="C214" s="21" t="s">
        <v>630</v>
      </c>
      <c r="D214" s="82" t="s">
        <v>211</v>
      </c>
      <c r="E214" s="98" t="s">
        <v>212</v>
      </c>
      <c r="F214" s="41">
        <v>600</v>
      </c>
      <c r="G214" s="41">
        <v>0</v>
      </c>
      <c r="H214" s="41">
        <v>0</v>
      </c>
    </row>
    <row r="215" spans="1:12" ht="40.5" customHeight="1" x14ac:dyDescent="0.2">
      <c r="A215" s="21" t="s">
        <v>94</v>
      </c>
      <c r="B215" s="21" t="s">
        <v>99</v>
      </c>
      <c r="C215" s="51" t="s">
        <v>353</v>
      </c>
      <c r="D215" s="82"/>
      <c r="E215" s="98" t="s">
        <v>350</v>
      </c>
      <c r="F215" s="41">
        <f>F216</f>
        <v>394.6</v>
      </c>
      <c r="G215" s="41">
        <f>G216</f>
        <v>410.4</v>
      </c>
      <c r="H215" s="41">
        <f>H216</f>
        <v>426.8</v>
      </c>
      <c r="J215" s="103"/>
      <c r="K215" s="103"/>
      <c r="L215" s="103"/>
    </row>
    <row r="216" spans="1:12" ht="38.25" x14ac:dyDescent="0.2">
      <c r="A216" s="21" t="s">
        <v>94</v>
      </c>
      <c r="B216" s="21" t="s">
        <v>99</v>
      </c>
      <c r="C216" s="51" t="s">
        <v>353</v>
      </c>
      <c r="D216" s="82" t="s">
        <v>211</v>
      </c>
      <c r="E216" s="98" t="s">
        <v>212</v>
      </c>
      <c r="F216" s="39">
        <v>394.6</v>
      </c>
      <c r="G216" s="39">
        <v>410.4</v>
      </c>
      <c r="H216" s="39">
        <v>426.8</v>
      </c>
    </row>
    <row r="217" spans="1:12" ht="51.75" customHeight="1" x14ac:dyDescent="0.2">
      <c r="A217" s="21" t="s">
        <v>94</v>
      </c>
      <c r="B217" s="21" t="s">
        <v>99</v>
      </c>
      <c r="C217" s="51" t="s">
        <v>354</v>
      </c>
      <c r="D217" s="82"/>
      <c r="E217" s="98" t="s">
        <v>348</v>
      </c>
      <c r="F217" s="41">
        <f>F218</f>
        <v>3551.3</v>
      </c>
      <c r="G217" s="41">
        <f>G218</f>
        <v>3693.3</v>
      </c>
      <c r="H217" s="41">
        <f>H218</f>
        <v>3841</v>
      </c>
    </row>
    <row r="218" spans="1:12" ht="38.25" x14ac:dyDescent="0.2">
      <c r="A218" s="21" t="s">
        <v>94</v>
      </c>
      <c r="B218" s="21" t="s">
        <v>99</v>
      </c>
      <c r="C218" s="51" t="s">
        <v>354</v>
      </c>
      <c r="D218" s="82" t="s">
        <v>211</v>
      </c>
      <c r="E218" s="98" t="s">
        <v>212</v>
      </c>
      <c r="F218" s="41">
        <v>3551.3</v>
      </c>
      <c r="G218" s="41">
        <v>3693.3</v>
      </c>
      <c r="H218" s="41">
        <v>3841</v>
      </c>
    </row>
    <row r="219" spans="1:12" ht="25.5" x14ac:dyDescent="0.2">
      <c r="A219" s="21" t="s">
        <v>94</v>
      </c>
      <c r="B219" s="21" t="s">
        <v>122</v>
      </c>
      <c r="C219" s="30"/>
      <c r="D219" s="30"/>
      <c r="E219" s="46" t="s">
        <v>4</v>
      </c>
      <c r="F219" s="40">
        <f>F220+F226+F244</f>
        <v>2692</v>
      </c>
      <c r="G219" s="40">
        <f>G220+G226+G244</f>
        <v>1406.2</v>
      </c>
      <c r="H219" s="40">
        <f>H220+H226+H244</f>
        <v>1406.2</v>
      </c>
    </row>
    <row r="220" spans="1:12" ht="89.25" x14ac:dyDescent="0.2">
      <c r="A220" s="5" t="s">
        <v>94</v>
      </c>
      <c r="B220" s="5" t="s">
        <v>122</v>
      </c>
      <c r="C220" s="73" t="s">
        <v>69</v>
      </c>
      <c r="D220" s="16"/>
      <c r="E220" s="142" t="s">
        <v>576</v>
      </c>
      <c r="F220" s="96">
        <f>F221</f>
        <v>186</v>
      </c>
      <c r="G220" s="96">
        <f>G221</f>
        <v>176.2</v>
      </c>
      <c r="H220" s="96">
        <f>H221</f>
        <v>176.2</v>
      </c>
    </row>
    <row r="221" spans="1:12" ht="38.25" x14ac:dyDescent="0.2">
      <c r="A221" s="16" t="s">
        <v>94</v>
      </c>
      <c r="B221" s="16" t="s">
        <v>122</v>
      </c>
      <c r="C221" s="52" t="s">
        <v>163</v>
      </c>
      <c r="D221" s="16"/>
      <c r="E221" s="48" t="s">
        <v>162</v>
      </c>
      <c r="F221" s="41">
        <f>F222+F224</f>
        <v>186</v>
      </c>
      <c r="G221" s="41">
        <f t="shared" ref="G221:H221" si="31">G222+G224</f>
        <v>176.2</v>
      </c>
      <c r="H221" s="41">
        <f t="shared" si="31"/>
        <v>176.2</v>
      </c>
    </row>
    <row r="222" spans="1:12" ht="51" x14ac:dyDescent="0.2">
      <c r="A222" s="16" t="s">
        <v>94</v>
      </c>
      <c r="B222" s="16" t="s">
        <v>122</v>
      </c>
      <c r="C222" s="21" t="s">
        <v>460</v>
      </c>
      <c r="D222" s="30"/>
      <c r="E222" s="97" t="s">
        <v>164</v>
      </c>
      <c r="F222" s="41">
        <f>F223</f>
        <v>150</v>
      </c>
      <c r="G222" s="41">
        <f>G223</f>
        <v>140.19999999999999</v>
      </c>
      <c r="H222" s="41">
        <f>H223</f>
        <v>140.19999999999999</v>
      </c>
    </row>
    <row r="223" spans="1:12" ht="38.25" x14ac:dyDescent="0.2">
      <c r="A223" s="16" t="s">
        <v>94</v>
      </c>
      <c r="B223" s="16" t="s">
        <v>122</v>
      </c>
      <c r="C223" s="21" t="s">
        <v>460</v>
      </c>
      <c r="D223" s="82" t="s">
        <v>211</v>
      </c>
      <c r="E223" s="98" t="s">
        <v>212</v>
      </c>
      <c r="F223" s="39">
        <v>150</v>
      </c>
      <c r="G223" s="39">
        <v>140.19999999999999</v>
      </c>
      <c r="H223" s="39">
        <v>140.19999999999999</v>
      </c>
    </row>
    <row r="224" spans="1:12" ht="38.25" x14ac:dyDescent="0.2">
      <c r="A224" s="16" t="s">
        <v>94</v>
      </c>
      <c r="B224" s="16" t="s">
        <v>122</v>
      </c>
      <c r="C224" s="82" t="s">
        <v>461</v>
      </c>
      <c r="D224" s="30"/>
      <c r="E224" s="97" t="s">
        <v>167</v>
      </c>
      <c r="F224" s="41">
        <f>F225</f>
        <v>36</v>
      </c>
      <c r="G224" s="41">
        <f>G225</f>
        <v>36</v>
      </c>
      <c r="H224" s="41">
        <f>H225</f>
        <v>36</v>
      </c>
    </row>
    <row r="225" spans="1:8" ht="38.25" x14ac:dyDescent="0.2">
      <c r="A225" s="16" t="s">
        <v>94</v>
      </c>
      <c r="B225" s="16" t="s">
        <v>122</v>
      </c>
      <c r="C225" s="82" t="s">
        <v>461</v>
      </c>
      <c r="D225" s="82" t="s">
        <v>211</v>
      </c>
      <c r="E225" s="98" t="s">
        <v>212</v>
      </c>
      <c r="F225" s="41">
        <v>36</v>
      </c>
      <c r="G225" s="41">
        <v>36</v>
      </c>
      <c r="H225" s="41">
        <v>36</v>
      </c>
    </row>
    <row r="226" spans="1:8" ht="89.25" x14ac:dyDescent="0.2">
      <c r="A226" s="5" t="s">
        <v>94</v>
      </c>
      <c r="B226" s="5" t="s">
        <v>122</v>
      </c>
      <c r="C226" s="76">
        <v>400000000</v>
      </c>
      <c r="D226" s="16"/>
      <c r="E226" s="141" t="s">
        <v>575</v>
      </c>
      <c r="F226" s="96">
        <f>F227</f>
        <v>2266</v>
      </c>
      <c r="G226" s="96">
        <f>G227</f>
        <v>930</v>
      </c>
      <c r="H226" s="96">
        <f>H227</f>
        <v>930</v>
      </c>
    </row>
    <row r="227" spans="1:8" ht="50.25" customHeight="1" x14ac:dyDescent="0.2">
      <c r="A227" s="47" t="s">
        <v>94</v>
      </c>
      <c r="B227" s="47" t="s">
        <v>122</v>
      </c>
      <c r="C227" s="75">
        <v>410000000</v>
      </c>
      <c r="D227" s="30"/>
      <c r="E227" s="46" t="s">
        <v>462</v>
      </c>
      <c r="F227" s="93">
        <f>F228+F230+F232+F234+F236+F238+F240+F242</f>
        <v>2266</v>
      </c>
      <c r="G227" s="93">
        <f t="shared" ref="G227:H227" si="32">G228+G230+G232+G234+G236+G238+G240+G242</f>
        <v>930</v>
      </c>
      <c r="H227" s="93">
        <f t="shared" si="32"/>
        <v>930</v>
      </c>
    </row>
    <row r="228" spans="1:8" ht="76.5" x14ac:dyDescent="0.2">
      <c r="A228" s="16" t="s">
        <v>94</v>
      </c>
      <c r="B228" s="16" t="s">
        <v>122</v>
      </c>
      <c r="C228" s="135" t="s">
        <v>624</v>
      </c>
      <c r="D228" s="82"/>
      <c r="E228" s="98" t="s">
        <v>592</v>
      </c>
      <c r="F228" s="39">
        <f t="shared" ref="F228:H228" si="33">F229</f>
        <v>50</v>
      </c>
      <c r="G228" s="39">
        <f t="shared" si="33"/>
        <v>50</v>
      </c>
      <c r="H228" s="39">
        <f t="shared" si="33"/>
        <v>50</v>
      </c>
    </row>
    <row r="229" spans="1:8" ht="38.25" x14ac:dyDescent="0.2">
      <c r="A229" s="16" t="s">
        <v>94</v>
      </c>
      <c r="B229" s="16" t="s">
        <v>122</v>
      </c>
      <c r="C229" s="135" t="s">
        <v>624</v>
      </c>
      <c r="D229" s="82" t="s">
        <v>211</v>
      </c>
      <c r="E229" s="98" t="s">
        <v>212</v>
      </c>
      <c r="F229" s="39">
        <v>50</v>
      </c>
      <c r="G229" s="39">
        <v>50</v>
      </c>
      <c r="H229" s="39">
        <v>50</v>
      </c>
    </row>
    <row r="230" spans="1:8" ht="25.5" x14ac:dyDescent="0.2">
      <c r="A230" s="16" t="s">
        <v>94</v>
      </c>
      <c r="B230" s="16" t="s">
        <v>122</v>
      </c>
      <c r="C230" s="135" t="s">
        <v>623</v>
      </c>
      <c r="D230" s="82"/>
      <c r="E230" s="98" t="s">
        <v>465</v>
      </c>
      <c r="F230" s="39">
        <f>F231</f>
        <v>30</v>
      </c>
      <c r="G230" s="39">
        <f>G231</f>
        <v>30</v>
      </c>
      <c r="H230" s="39">
        <f>H231</f>
        <v>30</v>
      </c>
    </row>
    <row r="231" spans="1:8" ht="38.25" x14ac:dyDescent="0.2">
      <c r="A231" s="16" t="s">
        <v>94</v>
      </c>
      <c r="B231" s="16" t="s">
        <v>122</v>
      </c>
      <c r="C231" s="135" t="s">
        <v>623</v>
      </c>
      <c r="D231" s="82" t="s">
        <v>211</v>
      </c>
      <c r="E231" s="98" t="s">
        <v>212</v>
      </c>
      <c r="F231" s="39">
        <v>30</v>
      </c>
      <c r="G231" s="39">
        <v>30</v>
      </c>
      <c r="H231" s="39">
        <v>30</v>
      </c>
    </row>
    <row r="232" spans="1:8" ht="40.5" customHeight="1" x14ac:dyDescent="0.2">
      <c r="A232" s="16" t="s">
        <v>94</v>
      </c>
      <c r="B232" s="16" t="s">
        <v>122</v>
      </c>
      <c r="C232" s="135" t="s">
        <v>622</v>
      </c>
      <c r="D232" s="82"/>
      <c r="E232" s="98" t="s">
        <v>593</v>
      </c>
      <c r="F232" s="39">
        <f>F233</f>
        <v>50</v>
      </c>
      <c r="G232" s="39">
        <f t="shared" ref="G232:H232" si="34">G233</f>
        <v>50</v>
      </c>
      <c r="H232" s="39">
        <f t="shared" si="34"/>
        <v>50</v>
      </c>
    </row>
    <row r="233" spans="1:8" ht="38.25" x14ac:dyDescent="0.2">
      <c r="A233" s="16" t="s">
        <v>94</v>
      </c>
      <c r="B233" s="16" t="s">
        <v>122</v>
      </c>
      <c r="C233" s="135" t="s">
        <v>622</v>
      </c>
      <c r="D233" s="82" t="s">
        <v>211</v>
      </c>
      <c r="E233" s="98" t="s">
        <v>212</v>
      </c>
      <c r="F233" s="39">
        <v>50</v>
      </c>
      <c r="G233" s="39">
        <v>50</v>
      </c>
      <c r="H233" s="39">
        <v>50</v>
      </c>
    </row>
    <row r="234" spans="1:8" ht="63.75" x14ac:dyDescent="0.2">
      <c r="A234" s="16" t="s">
        <v>94</v>
      </c>
      <c r="B234" s="16" t="s">
        <v>122</v>
      </c>
      <c r="C234" s="135" t="s">
        <v>625</v>
      </c>
      <c r="D234" s="82"/>
      <c r="E234" s="98" t="s">
        <v>594</v>
      </c>
      <c r="F234" s="39">
        <f>F235</f>
        <v>200</v>
      </c>
      <c r="G234" s="39">
        <f t="shared" ref="G234:H234" si="35">G235</f>
        <v>200</v>
      </c>
      <c r="H234" s="39">
        <f t="shared" si="35"/>
        <v>200</v>
      </c>
    </row>
    <row r="235" spans="1:8" ht="63.75" x14ac:dyDescent="0.2">
      <c r="A235" s="16" t="s">
        <v>94</v>
      </c>
      <c r="B235" s="16" t="s">
        <v>122</v>
      </c>
      <c r="C235" s="135" t="s">
        <v>625</v>
      </c>
      <c r="D235" s="16" t="s">
        <v>12</v>
      </c>
      <c r="E235" s="98" t="s">
        <v>365</v>
      </c>
      <c r="F235" s="39">
        <v>200</v>
      </c>
      <c r="G235" s="39">
        <v>200</v>
      </c>
      <c r="H235" s="39">
        <v>200</v>
      </c>
    </row>
    <row r="236" spans="1:8" ht="63.75" x14ac:dyDescent="0.2">
      <c r="A236" s="16" t="s">
        <v>94</v>
      </c>
      <c r="B236" s="16" t="s">
        <v>122</v>
      </c>
      <c r="C236" s="135" t="s">
        <v>626</v>
      </c>
      <c r="D236" s="82"/>
      <c r="E236" s="98" t="s">
        <v>470</v>
      </c>
      <c r="F236" s="39">
        <f>F237</f>
        <v>500</v>
      </c>
      <c r="G236" s="39">
        <f t="shared" ref="G236:H236" si="36">G237</f>
        <v>500</v>
      </c>
      <c r="H236" s="39">
        <f t="shared" si="36"/>
        <v>500</v>
      </c>
    </row>
    <row r="237" spans="1:8" ht="63.75" x14ac:dyDescent="0.2">
      <c r="A237" s="16" t="s">
        <v>94</v>
      </c>
      <c r="B237" s="16" t="s">
        <v>122</v>
      </c>
      <c r="C237" s="135" t="s">
        <v>626</v>
      </c>
      <c r="D237" s="16" t="s">
        <v>12</v>
      </c>
      <c r="E237" s="98" t="s">
        <v>365</v>
      </c>
      <c r="F237" s="39">
        <v>500</v>
      </c>
      <c r="G237" s="39">
        <v>500</v>
      </c>
      <c r="H237" s="39">
        <v>500</v>
      </c>
    </row>
    <row r="238" spans="1:8" ht="105.75" customHeight="1" x14ac:dyDescent="0.2">
      <c r="A238" s="16" t="s">
        <v>94</v>
      </c>
      <c r="B238" s="16" t="s">
        <v>122</v>
      </c>
      <c r="C238" s="135" t="s">
        <v>627</v>
      </c>
      <c r="D238" s="82"/>
      <c r="E238" s="98" t="s">
        <v>471</v>
      </c>
      <c r="F238" s="39">
        <f>F239</f>
        <v>80</v>
      </c>
      <c r="G238" s="39">
        <f t="shared" ref="G238:H238" si="37">G239</f>
        <v>100</v>
      </c>
      <c r="H238" s="39">
        <f t="shared" si="37"/>
        <v>100</v>
      </c>
    </row>
    <row r="239" spans="1:8" ht="63.75" x14ac:dyDescent="0.2">
      <c r="A239" s="16" t="s">
        <v>94</v>
      </c>
      <c r="B239" s="16" t="s">
        <v>122</v>
      </c>
      <c r="C239" s="135" t="s">
        <v>627</v>
      </c>
      <c r="D239" s="16" t="s">
        <v>12</v>
      </c>
      <c r="E239" s="98" t="s">
        <v>365</v>
      </c>
      <c r="F239" s="39">
        <v>80</v>
      </c>
      <c r="G239" s="39">
        <v>100</v>
      </c>
      <c r="H239" s="39">
        <v>100</v>
      </c>
    </row>
    <row r="240" spans="1:8" ht="102" x14ac:dyDescent="0.2">
      <c r="A240" s="16" t="s">
        <v>94</v>
      </c>
      <c r="B240" s="16" t="s">
        <v>122</v>
      </c>
      <c r="C240" s="135" t="s">
        <v>628</v>
      </c>
      <c r="D240" s="16"/>
      <c r="E240" s="98" t="s">
        <v>595</v>
      </c>
      <c r="F240" s="39">
        <f>F241</f>
        <v>356</v>
      </c>
      <c r="G240" s="39">
        <f t="shared" ref="G240:H240" si="38">G241</f>
        <v>0</v>
      </c>
      <c r="H240" s="39">
        <f t="shared" si="38"/>
        <v>0</v>
      </c>
    </row>
    <row r="241" spans="1:8" ht="63.75" x14ac:dyDescent="0.2">
      <c r="A241" s="16" t="s">
        <v>94</v>
      </c>
      <c r="B241" s="16" t="s">
        <v>122</v>
      </c>
      <c r="C241" s="135" t="s">
        <v>628</v>
      </c>
      <c r="D241" s="16" t="s">
        <v>12</v>
      </c>
      <c r="E241" s="98" t="s">
        <v>365</v>
      </c>
      <c r="F241" s="39">
        <v>356</v>
      </c>
      <c r="G241" s="39">
        <v>0</v>
      </c>
      <c r="H241" s="39">
        <v>0</v>
      </c>
    </row>
    <row r="242" spans="1:8" ht="115.5" customHeight="1" x14ac:dyDescent="0.2">
      <c r="A242" s="16" t="s">
        <v>94</v>
      </c>
      <c r="B242" s="16" t="s">
        <v>122</v>
      </c>
      <c r="C242" s="135" t="s">
        <v>666</v>
      </c>
      <c r="D242" s="16"/>
      <c r="E242" s="98" t="s">
        <v>667</v>
      </c>
      <c r="F242" s="39">
        <f>F243</f>
        <v>1000</v>
      </c>
      <c r="G242" s="39">
        <f t="shared" ref="G242:H242" si="39">G243</f>
        <v>0</v>
      </c>
      <c r="H242" s="39">
        <f t="shared" si="39"/>
        <v>0</v>
      </c>
    </row>
    <row r="243" spans="1:8" ht="63.75" x14ac:dyDescent="0.2">
      <c r="A243" s="16" t="s">
        <v>94</v>
      </c>
      <c r="B243" s="16" t="s">
        <v>122</v>
      </c>
      <c r="C243" s="135" t="s">
        <v>666</v>
      </c>
      <c r="D243" s="16" t="s">
        <v>12</v>
      </c>
      <c r="E243" s="98" t="s">
        <v>365</v>
      </c>
      <c r="F243" s="39">
        <v>1000</v>
      </c>
      <c r="G243" s="39">
        <v>0</v>
      </c>
      <c r="H243" s="39">
        <v>0</v>
      </c>
    </row>
    <row r="244" spans="1:8" ht="76.5" x14ac:dyDescent="0.2">
      <c r="A244" s="5" t="s">
        <v>94</v>
      </c>
      <c r="B244" s="5" t="s">
        <v>122</v>
      </c>
      <c r="C244" s="73" t="s">
        <v>146</v>
      </c>
      <c r="D244" s="16"/>
      <c r="E244" s="63" t="s">
        <v>580</v>
      </c>
      <c r="F244" s="96">
        <f>F245</f>
        <v>240</v>
      </c>
      <c r="G244" s="96">
        <f>G245</f>
        <v>300</v>
      </c>
      <c r="H244" s="96">
        <f>H245</f>
        <v>300</v>
      </c>
    </row>
    <row r="245" spans="1:8" ht="63.75" x14ac:dyDescent="0.2">
      <c r="A245" s="47" t="s">
        <v>94</v>
      </c>
      <c r="B245" s="47" t="s">
        <v>122</v>
      </c>
      <c r="C245" s="52" t="s">
        <v>147</v>
      </c>
      <c r="D245" s="16"/>
      <c r="E245" s="48" t="s">
        <v>545</v>
      </c>
      <c r="F245" s="93">
        <f>F246+F248+F250</f>
        <v>240</v>
      </c>
      <c r="G245" s="93">
        <f t="shared" ref="G245:H245" si="40">G246+G248+G250</f>
        <v>300</v>
      </c>
      <c r="H245" s="93">
        <f t="shared" si="40"/>
        <v>300</v>
      </c>
    </row>
    <row r="246" spans="1:8" ht="51" x14ac:dyDescent="0.2">
      <c r="A246" s="16" t="s">
        <v>94</v>
      </c>
      <c r="B246" s="16" t="s">
        <v>122</v>
      </c>
      <c r="C246" s="137" t="s">
        <v>507</v>
      </c>
      <c r="D246" s="16"/>
      <c r="E246" s="99" t="s">
        <v>544</v>
      </c>
      <c r="F246" s="39">
        <f>F247</f>
        <v>0</v>
      </c>
      <c r="G246" s="39">
        <f>G247</f>
        <v>300</v>
      </c>
      <c r="H246" s="39">
        <f>H247</f>
        <v>300</v>
      </c>
    </row>
    <row r="247" spans="1:8" ht="38.25" x14ac:dyDescent="0.2">
      <c r="A247" s="16" t="s">
        <v>94</v>
      </c>
      <c r="B247" s="16" t="s">
        <v>122</v>
      </c>
      <c r="C247" s="137" t="s">
        <v>507</v>
      </c>
      <c r="D247" s="82" t="s">
        <v>211</v>
      </c>
      <c r="E247" s="98" t="s">
        <v>212</v>
      </c>
      <c r="F247" s="39">
        <v>0</v>
      </c>
      <c r="G247" s="39">
        <v>300</v>
      </c>
      <c r="H247" s="39">
        <v>300</v>
      </c>
    </row>
    <row r="248" spans="1:8" ht="89.25" x14ac:dyDescent="0.2">
      <c r="A248" s="16" t="s">
        <v>94</v>
      </c>
      <c r="B248" s="16" t="s">
        <v>122</v>
      </c>
      <c r="C248" s="74">
        <v>810123102</v>
      </c>
      <c r="D248" s="16"/>
      <c r="E248" s="99" t="s">
        <v>508</v>
      </c>
      <c r="F248" s="39">
        <f>F249</f>
        <v>120</v>
      </c>
      <c r="G248" s="39">
        <f>G249</f>
        <v>0</v>
      </c>
      <c r="H248" s="39">
        <f>H249</f>
        <v>0</v>
      </c>
    </row>
    <row r="249" spans="1:8" ht="38.25" x14ac:dyDescent="0.2">
      <c r="A249" s="16" t="s">
        <v>94</v>
      </c>
      <c r="B249" s="16" t="s">
        <v>122</v>
      </c>
      <c r="C249" s="74">
        <v>810123102</v>
      </c>
      <c r="D249" s="82" t="s">
        <v>211</v>
      </c>
      <c r="E249" s="98" t="s">
        <v>212</v>
      </c>
      <c r="F249" s="39">
        <f>100+20</f>
        <v>120</v>
      </c>
      <c r="G249" s="39">
        <v>0</v>
      </c>
      <c r="H249" s="39">
        <v>0</v>
      </c>
    </row>
    <row r="250" spans="1:8" ht="89.25" x14ac:dyDescent="0.2">
      <c r="A250" s="16" t="s">
        <v>94</v>
      </c>
      <c r="B250" s="16" t="s">
        <v>122</v>
      </c>
      <c r="C250" s="74">
        <v>810123103</v>
      </c>
      <c r="D250" s="82"/>
      <c r="E250" s="98" t="s">
        <v>663</v>
      </c>
      <c r="F250" s="39">
        <f>F251</f>
        <v>120</v>
      </c>
      <c r="G250" s="39">
        <f t="shared" ref="G250:H250" si="41">G251</f>
        <v>0</v>
      </c>
      <c r="H250" s="39">
        <f t="shared" si="41"/>
        <v>0</v>
      </c>
    </row>
    <row r="251" spans="1:8" ht="38.25" x14ac:dyDescent="0.2">
      <c r="A251" s="16" t="s">
        <v>94</v>
      </c>
      <c r="B251" s="16" t="s">
        <v>122</v>
      </c>
      <c r="C251" s="74">
        <v>810123103</v>
      </c>
      <c r="D251" s="82" t="s">
        <v>211</v>
      </c>
      <c r="E251" s="98" t="s">
        <v>212</v>
      </c>
      <c r="F251" s="39">
        <f>100+20</f>
        <v>120</v>
      </c>
      <c r="G251" s="39">
        <v>0</v>
      </c>
      <c r="H251" s="39">
        <v>0</v>
      </c>
    </row>
    <row r="252" spans="1:8" ht="30" x14ac:dyDescent="0.25">
      <c r="A252" s="4" t="s">
        <v>95</v>
      </c>
      <c r="B252" s="3"/>
      <c r="C252" s="3"/>
      <c r="D252" s="3"/>
      <c r="E252" s="49" t="s">
        <v>47</v>
      </c>
      <c r="F252" s="92">
        <f>F253+F279+F320+F387</f>
        <v>313200.59999999998</v>
      </c>
      <c r="G252" s="92">
        <f>G253+G279+G320+G387</f>
        <v>52075.799999999996</v>
      </c>
      <c r="H252" s="92">
        <f>H253+H279+H320+H387</f>
        <v>47947</v>
      </c>
    </row>
    <row r="253" spans="1:8" ht="14.25" x14ac:dyDescent="0.2">
      <c r="A253" s="30" t="s">
        <v>95</v>
      </c>
      <c r="B253" s="30" t="s">
        <v>88</v>
      </c>
      <c r="C253" s="30"/>
      <c r="D253" s="30"/>
      <c r="E253" s="27" t="s">
        <v>42</v>
      </c>
      <c r="F253" s="40">
        <f>F254</f>
        <v>4539.3</v>
      </c>
      <c r="G253" s="40">
        <f>G254</f>
        <v>5761.3</v>
      </c>
      <c r="H253" s="40">
        <f>H254</f>
        <v>2611.3000000000002</v>
      </c>
    </row>
    <row r="254" spans="1:8" ht="76.5" x14ac:dyDescent="0.2">
      <c r="A254" s="5" t="s">
        <v>95</v>
      </c>
      <c r="B254" s="5" t="s">
        <v>88</v>
      </c>
      <c r="C254" s="73" t="s">
        <v>154</v>
      </c>
      <c r="D254" s="16"/>
      <c r="E254" s="141" t="s">
        <v>574</v>
      </c>
      <c r="F254" s="96">
        <f>F255+F261+F274</f>
        <v>4539.3</v>
      </c>
      <c r="G254" s="96">
        <f>G255+G261+G274</f>
        <v>5761.3</v>
      </c>
      <c r="H254" s="96">
        <f>H255+H261+H274</f>
        <v>2611.3000000000002</v>
      </c>
    </row>
    <row r="255" spans="1:8" ht="40.5" customHeight="1" x14ac:dyDescent="0.2">
      <c r="A255" s="47" t="s">
        <v>95</v>
      </c>
      <c r="B255" s="47" t="s">
        <v>88</v>
      </c>
      <c r="C255" s="52" t="s">
        <v>150</v>
      </c>
      <c r="D255" s="16"/>
      <c r="E255" s="48" t="s">
        <v>297</v>
      </c>
      <c r="F255" s="93">
        <f>F256+F259</f>
        <v>1347.3</v>
      </c>
      <c r="G255" s="93">
        <f>G256+G259</f>
        <v>950</v>
      </c>
      <c r="H255" s="93">
        <f>H256+H259</f>
        <v>950</v>
      </c>
    </row>
    <row r="256" spans="1:8" ht="51" x14ac:dyDescent="0.25">
      <c r="A256" s="16" t="s">
        <v>95</v>
      </c>
      <c r="B256" s="16" t="s">
        <v>88</v>
      </c>
      <c r="C256" s="136" t="s">
        <v>480</v>
      </c>
      <c r="D256" s="3"/>
      <c r="E256" s="98" t="s">
        <v>263</v>
      </c>
      <c r="F256" s="41">
        <f>SUM(F257:F258)</f>
        <v>1123.8</v>
      </c>
      <c r="G256" s="41">
        <f t="shared" ref="G256:H256" si="42">SUM(G257:G258)</f>
        <v>150</v>
      </c>
      <c r="H256" s="41">
        <f t="shared" si="42"/>
        <v>150</v>
      </c>
    </row>
    <row r="257" spans="1:8" ht="38.25" x14ac:dyDescent="0.2">
      <c r="A257" s="16" t="s">
        <v>95</v>
      </c>
      <c r="B257" s="16" t="s">
        <v>88</v>
      </c>
      <c r="C257" s="136" t="s">
        <v>480</v>
      </c>
      <c r="D257" s="82" t="s">
        <v>211</v>
      </c>
      <c r="E257" s="98" t="s">
        <v>212</v>
      </c>
      <c r="F257" s="41">
        <f>1378.5-59.3-0.2-195.4</f>
        <v>1123.5999999999999</v>
      </c>
      <c r="G257" s="41">
        <v>150</v>
      </c>
      <c r="H257" s="41">
        <v>150</v>
      </c>
    </row>
    <row r="258" spans="1:8" x14ac:dyDescent="0.2">
      <c r="A258" s="16" t="s">
        <v>95</v>
      </c>
      <c r="B258" s="16" t="s">
        <v>88</v>
      </c>
      <c r="C258" s="136" t="s">
        <v>480</v>
      </c>
      <c r="D258" s="82" t="s">
        <v>750</v>
      </c>
      <c r="E258" s="173" t="s">
        <v>751</v>
      </c>
      <c r="F258" s="41">
        <v>0.2</v>
      </c>
      <c r="G258" s="41">
        <v>0</v>
      </c>
      <c r="H258" s="41">
        <v>0</v>
      </c>
    </row>
    <row r="259" spans="1:8" ht="25.5" x14ac:dyDescent="0.25">
      <c r="A259" s="16" t="s">
        <v>95</v>
      </c>
      <c r="B259" s="16" t="s">
        <v>88</v>
      </c>
      <c r="C259" s="21" t="s">
        <v>481</v>
      </c>
      <c r="D259" s="3"/>
      <c r="E259" s="98" t="s">
        <v>335</v>
      </c>
      <c r="F259" s="41">
        <f>F260</f>
        <v>223.5</v>
      </c>
      <c r="G259" s="41">
        <f>G260</f>
        <v>800</v>
      </c>
      <c r="H259" s="41">
        <f>H260</f>
        <v>800</v>
      </c>
    </row>
    <row r="260" spans="1:8" ht="38.25" x14ac:dyDescent="0.2">
      <c r="A260" s="16" t="s">
        <v>95</v>
      </c>
      <c r="B260" s="16" t="s">
        <v>88</v>
      </c>
      <c r="C260" s="21" t="s">
        <v>481</v>
      </c>
      <c r="D260" s="82" t="s">
        <v>211</v>
      </c>
      <c r="E260" s="98" t="s">
        <v>212</v>
      </c>
      <c r="F260" s="39">
        <f>123.5+100</f>
        <v>223.5</v>
      </c>
      <c r="G260" s="39">
        <v>800</v>
      </c>
      <c r="H260" s="39">
        <v>800</v>
      </c>
    </row>
    <row r="261" spans="1:8" ht="38.25" x14ac:dyDescent="0.2">
      <c r="A261" s="47" t="s">
        <v>95</v>
      </c>
      <c r="B261" s="47" t="s">
        <v>88</v>
      </c>
      <c r="C261" s="52" t="s">
        <v>151</v>
      </c>
      <c r="D261" s="16"/>
      <c r="E261" s="48" t="s">
        <v>148</v>
      </c>
      <c r="F261" s="93">
        <f>F262+F264+F266+F268+F270+F272</f>
        <v>1207</v>
      </c>
      <c r="G261" s="93">
        <f t="shared" ref="G261:H261" si="43">G262+G264+G266+G268+G270+G272</f>
        <v>1510</v>
      </c>
      <c r="H261" s="93">
        <f t="shared" si="43"/>
        <v>200</v>
      </c>
    </row>
    <row r="262" spans="1:8" ht="131.25" customHeight="1" x14ac:dyDescent="0.25">
      <c r="A262" s="16" t="s">
        <v>95</v>
      </c>
      <c r="B262" s="16" t="s">
        <v>88</v>
      </c>
      <c r="C262" s="79">
        <v>520123261</v>
      </c>
      <c r="D262" s="3"/>
      <c r="E262" s="98" t="s">
        <v>268</v>
      </c>
      <c r="F262" s="41">
        <f>F263</f>
        <v>0</v>
      </c>
      <c r="G262" s="41">
        <f>G263</f>
        <v>100</v>
      </c>
      <c r="H262" s="41">
        <f>H263</f>
        <v>0</v>
      </c>
    </row>
    <row r="263" spans="1:8" ht="38.25" x14ac:dyDescent="0.2">
      <c r="A263" s="16" t="s">
        <v>95</v>
      </c>
      <c r="B263" s="16" t="s">
        <v>88</v>
      </c>
      <c r="C263" s="79">
        <v>520123261</v>
      </c>
      <c r="D263" s="82" t="s">
        <v>211</v>
      </c>
      <c r="E263" s="98" t="s">
        <v>212</v>
      </c>
      <c r="F263" s="41">
        <v>0</v>
      </c>
      <c r="G263" s="41">
        <v>100</v>
      </c>
      <c r="H263" s="41">
        <v>0</v>
      </c>
    </row>
    <row r="264" spans="1:8" ht="51" x14ac:dyDescent="0.2">
      <c r="A264" s="16" t="s">
        <v>95</v>
      </c>
      <c r="B264" s="16" t="s">
        <v>88</v>
      </c>
      <c r="C264" s="79">
        <v>520123262</v>
      </c>
      <c r="D264" s="16"/>
      <c r="E264" s="98" t="s">
        <v>299</v>
      </c>
      <c r="F264" s="41">
        <f>F265</f>
        <v>0</v>
      </c>
      <c r="G264" s="41">
        <f>G265</f>
        <v>20</v>
      </c>
      <c r="H264" s="41">
        <f>H265</f>
        <v>20</v>
      </c>
    </row>
    <row r="265" spans="1:8" ht="38.25" x14ac:dyDescent="0.2">
      <c r="A265" s="16" t="s">
        <v>95</v>
      </c>
      <c r="B265" s="16" t="s">
        <v>88</v>
      </c>
      <c r="C265" s="79">
        <v>520123262</v>
      </c>
      <c r="D265" s="82" t="s">
        <v>211</v>
      </c>
      <c r="E265" s="98" t="s">
        <v>212</v>
      </c>
      <c r="F265" s="41">
        <v>0</v>
      </c>
      <c r="G265" s="41">
        <v>20</v>
      </c>
      <c r="H265" s="41">
        <v>20</v>
      </c>
    </row>
    <row r="266" spans="1:8" ht="25.5" x14ac:dyDescent="0.2">
      <c r="A266" s="16" t="s">
        <v>95</v>
      </c>
      <c r="B266" s="16" t="s">
        <v>88</v>
      </c>
      <c r="C266" s="136" t="s">
        <v>482</v>
      </c>
      <c r="D266" s="82"/>
      <c r="E266" s="98" t="s">
        <v>483</v>
      </c>
      <c r="F266" s="41">
        <f>F267</f>
        <v>101.7</v>
      </c>
      <c r="G266" s="41">
        <f>G267</f>
        <v>170</v>
      </c>
      <c r="H266" s="41">
        <f>H267</f>
        <v>180</v>
      </c>
    </row>
    <row r="267" spans="1:8" ht="38.25" x14ac:dyDescent="0.2">
      <c r="A267" s="16" t="s">
        <v>95</v>
      </c>
      <c r="B267" s="16" t="s">
        <v>88</v>
      </c>
      <c r="C267" s="136" t="s">
        <v>482</v>
      </c>
      <c r="D267" s="82" t="s">
        <v>211</v>
      </c>
      <c r="E267" s="98" t="s">
        <v>212</v>
      </c>
      <c r="F267" s="41">
        <f>160-58.3</f>
        <v>101.7</v>
      </c>
      <c r="G267" s="41">
        <v>170</v>
      </c>
      <c r="H267" s="41">
        <v>180</v>
      </c>
    </row>
    <row r="268" spans="1:8" ht="54" customHeight="1" x14ac:dyDescent="0.2">
      <c r="A268" s="16" t="s">
        <v>95</v>
      </c>
      <c r="B268" s="16" t="s">
        <v>88</v>
      </c>
      <c r="C268" s="79">
        <v>520223264</v>
      </c>
      <c r="D268" s="82"/>
      <c r="E268" s="98" t="s">
        <v>762</v>
      </c>
      <c r="F268" s="41">
        <f>F269</f>
        <v>905.3</v>
      </c>
      <c r="G268" s="41">
        <f t="shared" ref="G268:H268" si="44">G269</f>
        <v>0</v>
      </c>
      <c r="H268" s="41">
        <f t="shared" si="44"/>
        <v>0</v>
      </c>
    </row>
    <row r="269" spans="1:8" ht="25.5" x14ac:dyDescent="0.2">
      <c r="A269" s="16" t="s">
        <v>95</v>
      </c>
      <c r="B269" s="16" t="s">
        <v>88</v>
      </c>
      <c r="C269" s="79">
        <v>520223264</v>
      </c>
      <c r="D269" s="82" t="s">
        <v>131</v>
      </c>
      <c r="E269" s="98" t="s">
        <v>132</v>
      </c>
      <c r="F269" s="41">
        <v>905.3</v>
      </c>
      <c r="G269" s="41">
        <v>0</v>
      </c>
      <c r="H269" s="41">
        <v>0</v>
      </c>
    </row>
    <row r="270" spans="1:8" ht="63.75" x14ac:dyDescent="0.2">
      <c r="A270" s="16" t="s">
        <v>95</v>
      </c>
      <c r="B270" s="16" t="s">
        <v>88</v>
      </c>
      <c r="C270" s="79">
        <v>520223265</v>
      </c>
      <c r="D270" s="82"/>
      <c r="E270" s="98" t="s">
        <v>485</v>
      </c>
      <c r="F270" s="41">
        <f>F271</f>
        <v>0</v>
      </c>
      <c r="G270" s="41">
        <f>G271</f>
        <v>1220</v>
      </c>
      <c r="H270" s="41">
        <f>H271</f>
        <v>0</v>
      </c>
    </row>
    <row r="271" spans="1:8" x14ac:dyDescent="0.2">
      <c r="A271" s="16" t="s">
        <v>95</v>
      </c>
      <c r="B271" s="16" t="s">
        <v>88</v>
      </c>
      <c r="C271" s="79">
        <v>520223265</v>
      </c>
      <c r="D271" s="82" t="s">
        <v>248</v>
      </c>
      <c r="E271" s="99" t="s">
        <v>271</v>
      </c>
      <c r="F271" s="41">
        <f>2890-2890</f>
        <v>0</v>
      </c>
      <c r="G271" s="41">
        <v>1220</v>
      </c>
      <c r="H271" s="41">
        <v>0</v>
      </c>
    </row>
    <row r="272" spans="1:8" ht="38.25" x14ac:dyDescent="0.2">
      <c r="A272" s="16" t="s">
        <v>95</v>
      </c>
      <c r="B272" s="16" t="s">
        <v>88</v>
      </c>
      <c r="C272" s="21" t="s">
        <v>486</v>
      </c>
      <c r="D272" s="82"/>
      <c r="E272" s="99" t="s">
        <v>272</v>
      </c>
      <c r="F272" s="41">
        <f>F273</f>
        <v>200</v>
      </c>
      <c r="G272" s="41">
        <f>G273</f>
        <v>0</v>
      </c>
      <c r="H272" s="41">
        <f>H273</f>
        <v>0</v>
      </c>
    </row>
    <row r="273" spans="1:8" ht="38.25" x14ac:dyDescent="0.2">
      <c r="A273" s="16" t="s">
        <v>95</v>
      </c>
      <c r="B273" s="16" t="s">
        <v>88</v>
      </c>
      <c r="C273" s="21" t="s">
        <v>486</v>
      </c>
      <c r="D273" s="82" t="s">
        <v>211</v>
      </c>
      <c r="E273" s="98" t="s">
        <v>212</v>
      </c>
      <c r="F273" s="41">
        <v>200</v>
      </c>
      <c r="G273" s="39">
        <v>0</v>
      </c>
      <c r="H273" s="39">
        <v>0</v>
      </c>
    </row>
    <row r="274" spans="1:8" ht="63.75" x14ac:dyDescent="0.2">
      <c r="A274" s="47" t="s">
        <v>95</v>
      </c>
      <c r="B274" s="47" t="s">
        <v>88</v>
      </c>
      <c r="C274" s="52" t="s">
        <v>152</v>
      </c>
      <c r="D274" s="16"/>
      <c r="E274" s="48" t="s">
        <v>149</v>
      </c>
      <c r="F274" s="93">
        <f>F275+F277</f>
        <v>1985</v>
      </c>
      <c r="G274" s="93">
        <f>G275+G277</f>
        <v>3301.3</v>
      </c>
      <c r="H274" s="93">
        <f>H275+H277</f>
        <v>1461.3</v>
      </c>
    </row>
    <row r="275" spans="1:8" ht="66.75" customHeight="1" x14ac:dyDescent="0.2">
      <c r="A275" s="82" t="s">
        <v>95</v>
      </c>
      <c r="B275" s="82" t="s">
        <v>88</v>
      </c>
      <c r="C275" s="79">
        <v>530123271</v>
      </c>
      <c r="D275" s="16"/>
      <c r="E275" s="98" t="s">
        <v>153</v>
      </c>
      <c r="F275" s="41">
        <f>F276</f>
        <v>1985</v>
      </c>
      <c r="G275" s="41">
        <f>G276</f>
        <v>1461.3</v>
      </c>
      <c r="H275" s="41">
        <f>H276</f>
        <v>1461.3</v>
      </c>
    </row>
    <row r="276" spans="1:8" ht="38.25" x14ac:dyDescent="0.2">
      <c r="A276" s="16" t="s">
        <v>95</v>
      </c>
      <c r="B276" s="16" t="s">
        <v>88</v>
      </c>
      <c r="C276" s="79">
        <v>530123271</v>
      </c>
      <c r="D276" s="82" t="s">
        <v>211</v>
      </c>
      <c r="E276" s="98" t="s">
        <v>212</v>
      </c>
      <c r="F276" s="147">
        <f>961.3+456.1+59.3+253.7+104.6+150</f>
        <v>1985</v>
      </c>
      <c r="G276" s="1">
        <v>1461.3</v>
      </c>
      <c r="H276" s="1">
        <v>1461.3</v>
      </c>
    </row>
    <row r="277" spans="1:8" ht="55.5" customHeight="1" x14ac:dyDescent="0.2">
      <c r="A277" s="16" t="s">
        <v>95</v>
      </c>
      <c r="B277" s="16" t="s">
        <v>88</v>
      </c>
      <c r="C277" s="79">
        <v>530223272</v>
      </c>
      <c r="D277" s="16"/>
      <c r="E277" s="98" t="s">
        <v>488</v>
      </c>
      <c r="F277" s="41">
        <f t="shared" ref="F277:H277" si="45">F278</f>
        <v>0</v>
      </c>
      <c r="G277" s="41">
        <f t="shared" si="45"/>
        <v>1840</v>
      </c>
      <c r="H277" s="41">
        <f t="shared" si="45"/>
        <v>0</v>
      </c>
    </row>
    <row r="278" spans="1:8" ht="38.25" x14ac:dyDescent="0.2">
      <c r="A278" s="16" t="s">
        <v>95</v>
      </c>
      <c r="B278" s="16" t="s">
        <v>88</v>
      </c>
      <c r="C278" s="79">
        <v>530223272</v>
      </c>
      <c r="D278" s="82" t="s">
        <v>211</v>
      </c>
      <c r="E278" s="98" t="s">
        <v>212</v>
      </c>
      <c r="F278" s="41">
        <v>0</v>
      </c>
      <c r="G278" s="41">
        <v>1840</v>
      </c>
      <c r="H278" s="41">
        <v>0</v>
      </c>
    </row>
    <row r="279" spans="1:8" ht="14.25" x14ac:dyDescent="0.2">
      <c r="A279" s="30" t="s">
        <v>95</v>
      </c>
      <c r="B279" s="30" t="s">
        <v>89</v>
      </c>
      <c r="C279" s="30"/>
      <c r="D279" s="30"/>
      <c r="E279" s="27" t="s">
        <v>41</v>
      </c>
      <c r="F279" s="40">
        <f>F280+F294+F317</f>
        <v>52893.299999999988</v>
      </c>
      <c r="G279" s="40">
        <f>G280+G294+G317</f>
        <v>13487.8</v>
      </c>
      <c r="H279" s="40">
        <f>H280+H294+H317</f>
        <v>12484</v>
      </c>
    </row>
    <row r="280" spans="1:8" ht="63.75" x14ac:dyDescent="0.2">
      <c r="A280" s="5" t="s">
        <v>95</v>
      </c>
      <c r="B280" s="5" t="s">
        <v>89</v>
      </c>
      <c r="C280" s="76">
        <v>400000000</v>
      </c>
      <c r="D280" s="5"/>
      <c r="E280" s="64" t="s">
        <v>375</v>
      </c>
      <c r="F280" s="96">
        <f t="shared" ref="F280:H280" si="46">F281</f>
        <v>13881.8</v>
      </c>
      <c r="G280" s="96">
        <f t="shared" si="46"/>
        <v>5125</v>
      </c>
      <c r="H280" s="96">
        <f t="shared" si="46"/>
        <v>4158.8</v>
      </c>
    </row>
    <row r="281" spans="1:8" ht="93.75" customHeight="1" x14ac:dyDescent="0.2">
      <c r="A281" s="16" t="s">
        <v>95</v>
      </c>
      <c r="B281" s="16" t="s">
        <v>89</v>
      </c>
      <c r="C281" s="75">
        <v>430000000</v>
      </c>
      <c r="D281" s="16"/>
      <c r="E281" s="46" t="s">
        <v>642</v>
      </c>
      <c r="F281" s="93">
        <f>F282+F284+F286+F288+F290+F292</f>
        <v>13881.8</v>
      </c>
      <c r="G281" s="93">
        <f t="shared" ref="G281:H281" si="47">G282+G284+G286+G288+G290+G292</f>
        <v>5125</v>
      </c>
      <c r="H281" s="93">
        <f t="shared" si="47"/>
        <v>4158.8</v>
      </c>
    </row>
    <row r="282" spans="1:8" ht="114.75" x14ac:dyDescent="0.2">
      <c r="A282" s="16" t="s">
        <v>95</v>
      </c>
      <c r="B282" s="16" t="s">
        <v>89</v>
      </c>
      <c r="C282" s="74">
        <v>430227340</v>
      </c>
      <c r="D282" s="16"/>
      <c r="E282" s="98" t="s">
        <v>605</v>
      </c>
      <c r="F282" s="39">
        <f>F283</f>
        <v>1364</v>
      </c>
      <c r="G282" s="39">
        <f t="shared" ref="G282:H282" si="48">G283</f>
        <v>1364</v>
      </c>
      <c r="H282" s="39">
        <f t="shared" si="48"/>
        <v>1364</v>
      </c>
    </row>
    <row r="283" spans="1:8" ht="63.75" x14ac:dyDescent="0.2">
      <c r="A283" s="16" t="s">
        <v>95</v>
      </c>
      <c r="B283" s="16" t="s">
        <v>89</v>
      </c>
      <c r="C283" s="74">
        <v>430227340</v>
      </c>
      <c r="D283" s="16" t="s">
        <v>12</v>
      </c>
      <c r="E283" s="98" t="s">
        <v>318</v>
      </c>
      <c r="F283" s="39">
        <v>1364</v>
      </c>
      <c r="G283" s="39">
        <v>1364</v>
      </c>
      <c r="H283" s="39">
        <v>1364</v>
      </c>
    </row>
    <row r="284" spans="1:8" ht="124.5" customHeight="1" x14ac:dyDescent="0.2">
      <c r="A284" s="16" t="s">
        <v>95</v>
      </c>
      <c r="B284" s="16" t="s">
        <v>89</v>
      </c>
      <c r="C284" s="74">
        <v>430227350</v>
      </c>
      <c r="D284" s="16"/>
      <c r="E284" s="98" t="s">
        <v>596</v>
      </c>
      <c r="F284" s="39">
        <f>F285</f>
        <v>25.5</v>
      </c>
      <c r="G284" s="39">
        <f t="shared" ref="G284:H284" si="49">G285</f>
        <v>25.5</v>
      </c>
      <c r="H284" s="39">
        <f t="shared" si="49"/>
        <v>25.5</v>
      </c>
    </row>
    <row r="285" spans="1:8" ht="63.75" x14ac:dyDescent="0.2">
      <c r="A285" s="16" t="s">
        <v>95</v>
      </c>
      <c r="B285" s="16" t="s">
        <v>89</v>
      </c>
      <c r="C285" s="74">
        <v>430227350</v>
      </c>
      <c r="D285" s="16" t="s">
        <v>12</v>
      </c>
      <c r="E285" s="98" t="s">
        <v>318</v>
      </c>
      <c r="F285" s="39">
        <v>25.5</v>
      </c>
      <c r="G285" s="39">
        <v>25.5</v>
      </c>
      <c r="H285" s="39">
        <v>25.5</v>
      </c>
    </row>
    <row r="286" spans="1:8" ht="126.75" customHeight="1" x14ac:dyDescent="0.2">
      <c r="A286" s="16" t="s">
        <v>95</v>
      </c>
      <c r="B286" s="16" t="s">
        <v>89</v>
      </c>
      <c r="C286" s="74">
        <v>430227360</v>
      </c>
      <c r="D286" s="16"/>
      <c r="E286" s="98" t="s">
        <v>597</v>
      </c>
      <c r="F286" s="39">
        <f>F287</f>
        <v>5593.6</v>
      </c>
      <c r="G286" s="39">
        <f t="shared" ref="G286:H286" si="50">G287</f>
        <v>1661.6</v>
      </c>
      <c r="H286" s="39">
        <f t="shared" si="50"/>
        <v>1661.6</v>
      </c>
    </row>
    <row r="287" spans="1:8" ht="63.75" x14ac:dyDescent="0.2">
      <c r="A287" s="16" t="s">
        <v>95</v>
      </c>
      <c r="B287" s="16" t="s">
        <v>89</v>
      </c>
      <c r="C287" s="74">
        <v>430227360</v>
      </c>
      <c r="D287" s="16" t="s">
        <v>12</v>
      </c>
      <c r="E287" s="98" t="s">
        <v>318</v>
      </c>
      <c r="F287" s="39">
        <f>5293.6+300</f>
        <v>5593.6</v>
      </c>
      <c r="G287" s="39">
        <v>1661.6</v>
      </c>
      <c r="H287" s="39">
        <v>1661.6</v>
      </c>
    </row>
    <row r="288" spans="1:8" ht="126.75" customHeight="1" x14ac:dyDescent="0.2">
      <c r="A288" s="16" t="s">
        <v>95</v>
      </c>
      <c r="B288" s="16" t="s">
        <v>89</v>
      </c>
      <c r="C288" s="74">
        <v>430227370</v>
      </c>
      <c r="D288" s="16"/>
      <c r="E288" s="98" t="s">
        <v>606</v>
      </c>
      <c r="F288" s="39">
        <f>F289</f>
        <v>1000</v>
      </c>
      <c r="G288" s="39">
        <f t="shared" ref="G288:H288" si="51">G289</f>
        <v>1107.7</v>
      </c>
      <c r="H288" s="39">
        <f t="shared" si="51"/>
        <v>1107.7</v>
      </c>
    </row>
    <row r="289" spans="1:8" ht="63.75" x14ac:dyDescent="0.2">
      <c r="A289" s="16" t="s">
        <v>95</v>
      </c>
      <c r="B289" s="16" t="s">
        <v>89</v>
      </c>
      <c r="C289" s="74">
        <v>430227370</v>
      </c>
      <c r="D289" s="16" t="s">
        <v>12</v>
      </c>
      <c r="E289" s="98" t="s">
        <v>318</v>
      </c>
      <c r="F289" s="39">
        <v>1000</v>
      </c>
      <c r="G289" s="39">
        <v>1107.7</v>
      </c>
      <c r="H289" s="39">
        <v>1107.7</v>
      </c>
    </row>
    <row r="290" spans="1:8" ht="127.5" x14ac:dyDescent="0.2">
      <c r="A290" s="16" t="s">
        <v>95</v>
      </c>
      <c r="B290" s="16" t="s">
        <v>89</v>
      </c>
      <c r="C290" s="74">
        <v>430227390</v>
      </c>
      <c r="D290" s="16"/>
      <c r="E290" s="98" t="s">
        <v>641</v>
      </c>
      <c r="F290" s="39">
        <f>F291</f>
        <v>2898.7</v>
      </c>
      <c r="G290" s="39">
        <f t="shared" ref="G290:H290" si="52">G291</f>
        <v>966.2</v>
      </c>
      <c r="H290" s="39">
        <f t="shared" si="52"/>
        <v>0</v>
      </c>
    </row>
    <row r="291" spans="1:8" ht="63.75" x14ac:dyDescent="0.2">
      <c r="A291" s="16" t="s">
        <v>95</v>
      </c>
      <c r="B291" s="16" t="s">
        <v>89</v>
      </c>
      <c r="C291" s="74">
        <v>430227390</v>
      </c>
      <c r="D291" s="16" t="s">
        <v>12</v>
      </c>
      <c r="E291" s="98" t="s">
        <v>318</v>
      </c>
      <c r="F291" s="39">
        <v>2898.7</v>
      </c>
      <c r="G291" s="39">
        <v>966.2</v>
      </c>
      <c r="H291" s="39">
        <v>0</v>
      </c>
    </row>
    <row r="292" spans="1:8" ht="127.5" x14ac:dyDescent="0.2">
      <c r="A292" s="16" t="s">
        <v>95</v>
      </c>
      <c r="B292" s="16" t="s">
        <v>89</v>
      </c>
      <c r="C292" s="74">
        <v>430227400</v>
      </c>
      <c r="D292" s="16"/>
      <c r="E292" s="98" t="s">
        <v>717</v>
      </c>
      <c r="F292" s="39">
        <f>F293</f>
        <v>3000</v>
      </c>
      <c r="G292" s="39">
        <f t="shared" ref="G292:H292" si="53">G293</f>
        <v>0</v>
      </c>
      <c r="H292" s="39">
        <f t="shared" si="53"/>
        <v>0</v>
      </c>
    </row>
    <row r="293" spans="1:8" ht="63.75" x14ac:dyDescent="0.2">
      <c r="A293" s="16" t="s">
        <v>95</v>
      </c>
      <c r="B293" s="16" t="s">
        <v>89</v>
      </c>
      <c r="C293" s="74">
        <v>430227400</v>
      </c>
      <c r="D293" s="16" t="s">
        <v>12</v>
      </c>
      <c r="E293" s="98" t="s">
        <v>318</v>
      </c>
      <c r="F293" s="39">
        <f>2000+1000</f>
        <v>3000</v>
      </c>
      <c r="G293" s="39">
        <v>0</v>
      </c>
      <c r="H293" s="39">
        <v>0</v>
      </c>
    </row>
    <row r="294" spans="1:8" ht="102" x14ac:dyDescent="0.2">
      <c r="A294" s="5" t="s">
        <v>95</v>
      </c>
      <c r="B294" s="5" t="s">
        <v>89</v>
      </c>
      <c r="C294" s="81" t="s">
        <v>32</v>
      </c>
      <c r="D294" s="16"/>
      <c r="E294" s="53" t="s">
        <v>577</v>
      </c>
      <c r="F294" s="96">
        <f>F295+F302+F312</f>
        <v>38891.499999999993</v>
      </c>
      <c r="G294" s="96">
        <f>G295+G302+G312</f>
        <v>8362.7999999999993</v>
      </c>
      <c r="H294" s="96">
        <f>H295+H302+H312</f>
        <v>8325.2000000000007</v>
      </c>
    </row>
    <row r="295" spans="1:8" ht="38.25" x14ac:dyDescent="0.2">
      <c r="A295" s="16" t="s">
        <v>95</v>
      </c>
      <c r="B295" s="16" t="s">
        <v>89</v>
      </c>
      <c r="C295" s="52" t="s">
        <v>33</v>
      </c>
      <c r="D295" s="16"/>
      <c r="E295" s="48" t="s">
        <v>549</v>
      </c>
      <c r="F295" s="93">
        <f>F296+F298+F300</f>
        <v>686.9</v>
      </c>
      <c r="G295" s="93">
        <f t="shared" ref="G295:H295" si="54">G296+G298+G300</f>
        <v>685</v>
      </c>
      <c r="H295" s="93">
        <f t="shared" si="54"/>
        <v>530</v>
      </c>
    </row>
    <row r="296" spans="1:8" ht="25.5" x14ac:dyDescent="0.25">
      <c r="A296" s="16" t="s">
        <v>95</v>
      </c>
      <c r="B296" s="16" t="s">
        <v>89</v>
      </c>
      <c r="C296" s="21" t="s">
        <v>492</v>
      </c>
      <c r="D296" s="3"/>
      <c r="E296" s="98" t="s">
        <v>188</v>
      </c>
      <c r="F296" s="41">
        <f t="shared" ref="F296:H296" si="55">F297</f>
        <v>521.9</v>
      </c>
      <c r="G296" s="41">
        <f t="shared" si="55"/>
        <v>510</v>
      </c>
      <c r="H296" s="41">
        <f t="shared" si="55"/>
        <v>510</v>
      </c>
    </row>
    <row r="297" spans="1:8" ht="38.25" x14ac:dyDescent="0.2">
      <c r="A297" s="16" t="s">
        <v>95</v>
      </c>
      <c r="B297" s="16" t="s">
        <v>89</v>
      </c>
      <c r="C297" s="21" t="s">
        <v>492</v>
      </c>
      <c r="D297" s="82" t="s">
        <v>211</v>
      </c>
      <c r="E297" s="98" t="s">
        <v>212</v>
      </c>
      <c r="F297" s="41">
        <f>510+11.9</f>
        <v>521.9</v>
      </c>
      <c r="G297" s="41">
        <v>510</v>
      </c>
      <c r="H297" s="41">
        <v>510</v>
      </c>
    </row>
    <row r="298" spans="1:8" ht="25.5" x14ac:dyDescent="0.2">
      <c r="A298" s="16" t="s">
        <v>95</v>
      </c>
      <c r="B298" s="16" t="s">
        <v>89</v>
      </c>
      <c r="C298" s="21" t="s">
        <v>493</v>
      </c>
      <c r="D298" s="16"/>
      <c r="E298" s="98" t="s">
        <v>333</v>
      </c>
      <c r="F298" s="41">
        <f t="shared" ref="F298:H298" si="56">F299</f>
        <v>10</v>
      </c>
      <c r="G298" s="41">
        <f t="shared" si="56"/>
        <v>20</v>
      </c>
      <c r="H298" s="41">
        <f t="shared" si="56"/>
        <v>20</v>
      </c>
    </row>
    <row r="299" spans="1:8" ht="38.25" x14ac:dyDescent="0.2">
      <c r="A299" s="16" t="s">
        <v>95</v>
      </c>
      <c r="B299" s="16" t="s">
        <v>89</v>
      </c>
      <c r="C299" s="21" t="s">
        <v>493</v>
      </c>
      <c r="D299" s="82" t="s">
        <v>211</v>
      </c>
      <c r="E299" s="98" t="s">
        <v>212</v>
      </c>
      <c r="F299" s="41">
        <v>10</v>
      </c>
      <c r="G299" s="41">
        <v>20</v>
      </c>
      <c r="H299" s="41">
        <v>20</v>
      </c>
    </row>
    <row r="300" spans="1:8" ht="38.25" x14ac:dyDescent="0.2">
      <c r="A300" s="16" t="s">
        <v>95</v>
      </c>
      <c r="B300" s="16" t="s">
        <v>89</v>
      </c>
      <c r="C300" s="21" t="s">
        <v>547</v>
      </c>
      <c r="D300" s="82"/>
      <c r="E300" s="98" t="s">
        <v>548</v>
      </c>
      <c r="F300" s="41">
        <f>F301</f>
        <v>155</v>
      </c>
      <c r="G300" s="41">
        <f t="shared" ref="G300:H300" si="57">G301</f>
        <v>155</v>
      </c>
      <c r="H300" s="41">
        <f t="shared" si="57"/>
        <v>0</v>
      </c>
    </row>
    <row r="301" spans="1:8" ht="38.25" x14ac:dyDescent="0.2">
      <c r="A301" s="16" t="s">
        <v>95</v>
      </c>
      <c r="B301" s="16" t="s">
        <v>89</v>
      </c>
      <c r="C301" s="21" t="s">
        <v>547</v>
      </c>
      <c r="D301" s="82" t="s">
        <v>211</v>
      </c>
      <c r="E301" s="98" t="s">
        <v>212</v>
      </c>
      <c r="F301" s="41">
        <v>155</v>
      </c>
      <c r="G301" s="41">
        <v>155</v>
      </c>
      <c r="H301" s="41">
        <v>0</v>
      </c>
    </row>
    <row r="302" spans="1:8" ht="25.5" x14ac:dyDescent="0.2">
      <c r="A302" s="47" t="s">
        <v>95</v>
      </c>
      <c r="B302" s="47" t="s">
        <v>89</v>
      </c>
      <c r="C302" s="52" t="s">
        <v>368</v>
      </c>
      <c r="D302" s="16"/>
      <c r="E302" s="46" t="s">
        <v>341</v>
      </c>
      <c r="F302" s="93">
        <f>F303+F305+F308+F310</f>
        <v>34985.899999999994</v>
      </c>
      <c r="G302" s="93">
        <f t="shared" ref="G302:H302" si="58">G303+G305+G308+G310</f>
        <v>2850</v>
      </c>
      <c r="H302" s="93">
        <f t="shared" si="58"/>
        <v>2850</v>
      </c>
    </row>
    <row r="303" spans="1:8" ht="38.25" x14ac:dyDescent="0.2">
      <c r="A303" s="16" t="s">
        <v>95</v>
      </c>
      <c r="B303" s="16" t="s">
        <v>89</v>
      </c>
      <c r="C303" s="21" t="s">
        <v>496</v>
      </c>
      <c r="D303" s="16"/>
      <c r="E303" s="97" t="s">
        <v>189</v>
      </c>
      <c r="F303" s="41">
        <f>F304</f>
        <v>200</v>
      </c>
      <c r="G303" s="41">
        <f>G304</f>
        <v>200</v>
      </c>
      <c r="H303" s="41">
        <f>H304</f>
        <v>200</v>
      </c>
    </row>
    <row r="304" spans="1:8" ht="38.25" x14ac:dyDescent="0.2">
      <c r="A304" s="16" t="s">
        <v>95</v>
      </c>
      <c r="B304" s="16" t="s">
        <v>89</v>
      </c>
      <c r="C304" s="21" t="s">
        <v>496</v>
      </c>
      <c r="D304" s="82" t="s">
        <v>211</v>
      </c>
      <c r="E304" s="98" t="s">
        <v>212</v>
      </c>
      <c r="F304" s="41">
        <v>200</v>
      </c>
      <c r="G304" s="41">
        <v>200</v>
      </c>
      <c r="H304" s="41">
        <v>200</v>
      </c>
    </row>
    <row r="305" spans="1:8" ht="25.5" x14ac:dyDescent="0.2">
      <c r="A305" s="16" t="s">
        <v>95</v>
      </c>
      <c r="B305" s="16" t="s">
        <v>89</v>
      </c>
      <c r="C305" s="21" t="s">
        <v>498</v>
      </c>
      <c r="D305" s="82"/>
      <c r="E305" s="98" t="s">
        <v>497</v>
      </c>
      <c r="F305" s="41">
        <f>SUM(F306:F307)</f>
        <v>1542.7</v>
      </c>
      <c r="G305" s="41">
        <f t="shared" ref="G305:H305" si="59">SUM(G306:G307)</f>
        <v>550</v>
      </c>
      <c r="H305" s="41">
        <f t="shared" si="59"/>
        <v>550</v>
      </c>
    </row>
    <row r="306" spans="1:8" ht="38.25" x14ac:dyDescent="0.2">
      <c r="A306" s="16" t="s">
        <v>95</v>
      </c>
      <c r="B306" s="16" t="s">
        <v>89</v>
      </c>
      <c r="C306" s="21" t="s">
        <v>498</v>
      </c>
      <c r="D306" s="82" t="s">
        <v>211</v>
      </c>
      <c r="E306" s="98" t="s">
        <v>212</v>
      </c>
      <c r="F306" s="41">
        <f>400+621.2</f>
        <v>1021.2</v>
      </c>
      <c r="G306" s="41">
        <v>550</v>
      </c>
      <c r="H306" s="41">
        <v>550</v>
      </c>
    </row>
    <row r="307" spans="1:8" x14ac:dyDescent="0.2">
      <c r="A307" s="16" t="s">
        <v>95</v>
      </c>
      <c r="B307" s="16" t="s">
        <v>89</v>
      </c>
      <c r="C307" s="21" t="s">
        <v>498</v>
      </c>
      <c r="D307" s="82" t="s">
        <v>248</v>
      </c>
      <c r="E307" s="99" t="s">
        <v>271</v>
      </c>
      <c r="F307" s="41">
        <v>521.5</v>
      </c>
      <c r="G307" s="41">
        <v>0</v>
      </c>
      <c r="H307" s="41">
        <v>0</v>
      </c>
    </row>
    <row r="308" spans="1:8" ht="51" x14ac:dyDescent="0.2">
      <c r="A308" s="16" t="s">
        <v>95</v>
      </c>
      <c r="B308" s="16" t="s">
        <v>89</v>
      </c>
      <c r="C308" s="21" t="s">
        <v>499</v>
      </c>
      <c r="D308" s="16"/>
      <c r="E308" s="98" t="s">
        <v>579</v>
      </c>
      <c r="F308" s="41">
        <f t="shared" ref="F308:H308" si="60">F309</f>
        <v>0</v>
      </c>
      <c r="G308" s="41">
        <f t="shared" si="60"/>
        <v>2100</v>
      </c>
      <c r="H308" s="41">
        <f t="shared" si="60"/>
        <v>2100</v>
      </c>
    </row>
    <row r="309" spans="1:8" ht="38.25" x14ac:dyDescent="0.2">
      <c r="A309" s="16" t="s">
        <v>95</v>
      </c>
      <c r="B309" s="16" t="s">
        <v>89</v>
      </c>
      <c r="C309" s="21" t="s">
        <v>499</v>
      </c>
      <c r="D309" s="82" t="s">
        <v>211</v>
      </c>
      <c r="E309" s="98" t="s">
        <v>212</v>
      </c>
      <c r="F309" s="41">
        <f>3689.4-3689.4</f>
        <v>0</v>
      </c>
      <c r="G309" s="41">
        <v>2100</v>
      </c>
      <c r="H309" s="41">
        <v>2100</v>
      </c>
    </row>
    <row r="310" spans="1:8" ht="25.5" x14ac:dyDescent="0.2">
      <c r="A310" s="16" t="s">
        <v>95</v>
      </c>
      <c r="B310" s="16" t="s">
        <v>89</v>
      </c>
      <c r="C310" s="21" t="s">
        <v>712</v>
      </c>
      <c r="D310" s="82"/>
      <c r="E310" s="98" t="s">
        <v>713</v>
      </c>
      <c r="F310" s="41">
        <f>F311</f>
        <v>33243.199999999997</v>
      </c>
      <c r="G310" s="41">
        <f t="shared" ref="G310:H310" si="61">G311</f>
        <v>0</v>
      </c>
      <c r="H310" s="41">
        <f t="shared" si="61"/>
        <v>0</v>
      </c>
    </row>
    <row r="311" spans="1:8" x14ac:dyDescent="0.2">
      <c r="A311" s="16" t="s">
        <v>95</v>
      </c>
      <c r="B311" s="16" t="s">
        <v>89</v>
      </c>
      <c r="C311" s="21" t="s">
        <v>712</v>
      </c>
      <c r="D311" s="82" t="s">
        <v>248</v>
      </c>
      <c r="E311" s="99" t="s">
        <v>271</v>
      </c>
      <c r="F311" s="41">
        <f>40000-6756.8</f>
        <v>33243.199999999997</v>
      </c>
      <c r="G311" s="41">
        <v>0</v>
      </c>
      <c r="H311" s="41">
        <v>0</v>
      </c>
    </row>
    <row r="312" spans="1:8" ht="38.25" x14ac:dyDescent="0.2">
      <c r="A312" s="16" t="s">
        <v>95</v>
      </c>
      <c r="B312" s="16" t="s">
        <v>89</v>
      </c>
      <c r="C312" s="52" t="s">
        <v>34</v>
      </c>
      <c r="D312" s="16"/>
      <c r="E312" s="46" t="s">
        <v>501</v>
      </c>
      <c r="F312" s="41">
        <f>F313+F315</f>
        <v>3218.7</v>
      </c>
      <c r="G312" s="41">
        <f t="shared" ref="G312:H312" si="62">G313+G315</f>
        <v>4827.8</v>
      </c>
      <c r="H312" s="41">
        <f t="shared" si="62"/>
        <v>4945.2</v>
      </c>
    </row>
    <row r="313" spans="1:8" ht="38.25" x14ac:dyDescent="0.2">
      <c r="A313" s="16" t="s">
        <v>95</v>
      </c>
      <c r="B313" s="16" t="s">
        <v>89</v>
      </c>
      <c r="C313" s="21" t="s">
        <v>503</v>
      </c>
      <c r="D313" s="16"/>
      <c r="E313" s="99" t="s">
        <v>502</v>
      </c>
      <c r="F313" s="41">
        <f>F314</f>
        <v>1919.6999999999998</v>
      </c>
      <c r="G313" s="41">
        <f t="shared" ref="G313:H313" si="63">G314</f>
        <v>1700</v>
      </c>
      <c r="H313" s="41">
        <f t="shared" si="63"/>
        <v>1700</v>
      </c>
    </row>
    <row r="314" spans="1:8" ht="38.25" x14ac:dyDescent="0.2">
      <c r="A314" s="16" t="s">
        <v>95</v>
      </c>
      <c r="B314" s="16" t="s">
        <v>89</v>
      </c>
      <c r="C314" s="21" t="s">
        <v>503</v>
      </c>
      <c r="D314" s="82" t="s">
        <v>211</v>
      </c>
      <c r="E314" s="98" t="s">
        <v>212</v>
      </c>
      <c r="F314" s="41">
        <f>1164+1050+239.1-533.4</f>
        <v>1919.6999999999998</v>
      </c>
      <c r="G314" s="41">
        <f>700+1000</f>
        <v>1700</v>
      </c>
      <c r="H314" s="41">
        <f>700+1000</f>
        <v>1700</v>
      </c>
    </row>
    <row r="315" spans="1:8" ht="25.5" x14ac:dyDescent="0.2">
      <c r="A315" s="16" t="s">
        <v>95</v>
      </c>
      <c r="B315" s="16" t="s">
        <v>89</v>
      </c>
      <c r="C315" s="21" t="s">
        <v>504</v>
      </c>
      <c r="D315" s="16"/>
      <c r="E315" s="99" t="s">
        <v>369</v>
      </c>
      <c r="F315" s="41">
        <f>F316</f>
        <v>1299</v>
      </c>
      <c r="G315" s="41">
        <f t="shared" ref="G315:H315" si="64">G316</f>
        <v>3127.8</v>
      </c>
      <c r="H315" s="41">
        <f t="shared" si="64"/>
        <v>3245.2</v>
      </c>
    </row>
    <row r="316" spans="1:8" x14ac:dyDescent="0.2">
      <c r="A316" s="16" t="s">
        <v>95</v>
      </c>
      <c r="B316" s="16" t="s">
        <v>89</v>
      </c>
      <c r="C316" s="21" t="s">
        <v>504</v>
      </c>
      <c r="D316" s="82" t="s">
        <v>248</v>
      </c>
      <c r="E316" s="99" t="s">
        <v>271</v>
      </c>
      <c r="F316" s="41">
        <v>1299</v>
      </c>
      <c r="G316" s="41">
        <v>3127.8</v>
      </c>
      <c r="H316" s="41">
        <v>3245.2</v>
      </c>
    </row>
    <row r="317" spans="1:8" ht="38.25" x14ac:dyDescent="0.2">
      <c r="A317" s="16" t="s">
        <v>95</v>
      </c>
      <c r="B317" s="16" t="s">
        <v>89</v>
      </c>
      <c r="C317" s="82" t="s">
        <v>24</v>
      </c>
      <c r="D317" s="82"/>
      <c r="E317" s="99" t="s">
        <v>38</v>
      </c>
      <c r="F317" s="41">
        <f>F318</f>
        <v>120</v>
      </c>
      <c r="G317" s="41">
        <f t="shared" ref="G317:H317" si="65">G318</f>
        <v>0</v>
      </c>
      <c r="H317" s="41">
        <f t="shared" si="65"/>
        <v>0</v>
      </c>
    </row>
    <row r="318" spans="1:8" ht="51" x14ac:dyDescent="0.2">
      <c r="A318" s="16" t="s">
        <v>95</v>
      </c>
      <c r="B318" s="16" t="s">
        <v>89</v>
      </c>
      <c r="C318" s="82" t="s">
        <v>567</v>
      </c>
      <c r="D318" s="16"/>
      <c r="E318" s="54" t="s">
        <v>566</v>
      </c>
      <c r="F318" s="41">
        <f>SUM(F319:F319)</f>
        <v>120</v>
      </c>
      <c r="G318" s="41">
        <f>SUM(G319:G319)</f>
        <v>0</v>
      </c>
      <c r="H318" s="41">
        <f>SUM(H319:H319)</f>
        <v>0</v>
      </c>
    </row>
    <row r="319" spans="1:8" ht="38.25" x14ac:dyDescent="0.2">
      <c r="A319" s="16" t="s">
        <v>95</v>
      </c>
      <c r="B319" s="16" t="s">
        <v>89</v>
      </c>
      <c r="C319" s="82" t="s">
        <v>567</v>
      </c>
      <c r="D319" s="82" t="s">
        <v>211</v>
      </c>
      <c r="E319" s="98" t="s">
        <v>212</v>
      </c>
      <c r="F319" s="39">
        <v>120</v>
      </c>
      <c r="G319" s="39">
        <v>0</v>
      </c>
      <c r="H319" s="39">
        <v>0</v>
      </c>
    </row>
    <row r="320" spans="1:8" ht="14.25" x14ac:dyDescent="0.2">
      <c r="A320" s="30" t="s">
        <v>95</v>
      </c>
      <c r="B320" s="30" t="s">
        <v>93</v>
      </c>
      <c r="C320" s="30"/>
      <c r="D320" s="30"/>
      <c r="E320" s="27" t="s">
        <v>48</v>
      </c>
      <c r="F320" s="40">
        <f>F321+F327+F366+F376+F383</f>
        <v>254387.09999999998</v>
      </c>
      <c r="G320" s="40">
        <f>G321+G327+G366+G376</f>
        <v>31645.8</v>
      </c>
      <c r="H320" s="40">
        <f>H321+H327+H366+H376</f>
        <v>31670.799999999999</v>
      </c>
    </row>
    <row r="321" spans="1:8" ht="89.25" x14ac:dyDescent="0.2">
      <c r="A321" s="5" t="s">
        <v>95</v>
      </c>
      <c r="B321" s="5" t="s">
        <v>93</v>
      </c>
      <c r="C321" s="78" t="s">
        <v>65</v>
      </c>
      <c r="D321" s="16"/>
      <c r="E321" s="63" t="s">
        <v>573</v>
      </c>
      <c r="F321" s="96">
        <f t="shared" ref="F321:H321" si="66">F322</f>
        <v>529.29999999999995</v>
      </c>
      <c r="G321" s="96">
        <f t="shared" si="66"/>
        <v>529.30000000000007</v>
      </c>
      <c r="H321" s="96">
        <f t="shared" si="66"/>
        <v>529.30000000000007</v>
      </c>
    </row>
    <row r="322" spans="1:8" ht="51" x14ac:dyDescent="0.2">
      <c r="A322" s="47" t="s">
        <v>95</v>
      </c>
      <c r="B322" s="47" t="s">
        <v>93</v>
      </c>
      <c r="C322" s="77" t="s">
        <v>66</v>
      </c>
      <c r="D322" s="16"/>
      <c r="E322" s="60" t="s">
        <v>491</v>
      </c>
      <c r="F322" s="93">
        <f>F323+F325</f>
        <v>529.29999999999995</v>
      </c>
      <c r="G322" s="93">
        <f t="shared" ref="G322:H322" si="67">G323+G325</f>
        <v>529.30000000000007</v>
      </c>
      <c r="H322" s="93">
        <f t="shared" si="67"/>
        <v>529.30000000000007</v>
      </c>
    </row>
    <row r="323" spans="1:8" ht="38.25" x14ac:dyDescent="0.2">
      <c r="A323" s="82" t="s">
        <v>95</v>
      </c>
      <c r="B323" s="82" t="s">
        <v>93</v>
      </c>
      <c r="C323" s="137" t="s">
        <v>489</v>
      </c>
      <c r="D323" s="16"/>
      <c r="E323" s="98" t="s">
        <v>599</v>
      </c>
      <c r="F323" s="41">
        <f t="shared" ref="F323:H323" si="68">F324</f>
        <v>521.4</v>
      </c>
      <c r="G323" s="41">
        <f t="shared" si="68"/>
        <v>522.1</v>
      </c>
      <c r="H323" s="41">
        <f t="shared" si="68"/>
        <v>522.1</v>
      </c>
    </row>
    <row r="324" spans="1:8" ht="38.25" x14ac:dyDescent="0.2">
      <c r="A324" s="82" t="s">
        <v>95</v>
      </c>
      <c r="B324" s="82" t="s">
        <v>93</v>
      </c>
      <c r="C324" s="137" t="s">
        <v>489</v>
      </c>
      <c r="D324" s="82" t="s">
        <v>211</v>
      </c>
      <c r="E324" s="98" t="s">
        <v>212</v>
      </c>
      <c r="F324" s="41">
        <f>522.1-0.7</f>
        <v>521.4</v>
      </c>
      <c r="G324" s="41">
        <v>522.1</v>
      </c>
      <c r="H324" s="41">
        <v>522.1</v>
      </c>
    </row>
    <row r="325" spans="1:8" ht="38.25" x14ac:dyDescent="0.2">
      <c r="A325" s="82" t="s">
        <v>95</v>
      </c>
      <c r="B325" s="82" t="s">
        <v>93</v>
      </c>
      <c r="C325" s="137" t="s">
        <v>542</v>
      </c>
      <c r="D325" s="82"/>
      <c r="E325" s="98" t="s">
        <v>543</v>
      </c>
      <c r="F325" s="41">
        <f>F326</f>
        <v>7.9</v>
      </c>
      <c r="G325" s="41">
        <f t="shared" ref="G325:H325" si="69">G326</f>
        <v>7.2</v>
      </c>
      <c r="H325" s="41">
        <f t="shared" si="69"/>
        <v>7.2</v>
      </c>
    </row>
    <row r="326" spans="1:8" ht="38.25" x14ac:dyDescent="0.2">
      <c r="A326" s="82" t="s">
        <v>95</v>
      </c>
      <c r="B326" s="82" t="s">
        <v>93</v>
      </c>
      <c r="C326" s="137" t="s">
        <v>542</v>
      </c>
      <c r="D326" s="82" t="s">
        <v>211</v>
      </c>
      <c r="E326" s="98" t="s">
        <v>212</v>
      </c>
      <c r="F326" s="41">
        <f>7.2+0.7</f>
        <v>7.9</v>
      </c>
      <c r="G326" s="41">
        <v>7.2</v>
      </c>
      <c r="H326" s="41">
        <v>7.2</v>
      </c>
    </row>
    <row r="327" spans="1:8" ht="89.25" x14ac:dyDescent="0.2">
      <c r="A327" s="5" t="s">
        <v>95</v>
      </c>
      <c r="B327" s="5" t="s">
        <v>93</v>
      </c>
      <c r="C327" s="73" t="s">
        <v>55</v>
      </c>
      <c r="D327" s="16"/>
      <c r="E327" s="53" t="s">
        <v>584</v>
      </c>
      <c r="F327" s="96">
        <f>F328+F347+F352+F359</f>
        <v>107237.4</v>
      </c>
      <c r="G327" s="96">
        <f>G328+G347+G352+G359</f>
        <v>30816.5</v>
      </c>
      <c r="H327" s="96">
        <f>H328+H347+H352+H359</f>
        <v>30841.5</v>
      </c>
    </row>
    <row r="328" spans="1:8" ht="51" x14ac:dyDescent="0.2">
      <c r="A328" s="82" t="s">
        <v>95</v>
      </c>
      <c r="B328" s="82" t="s">
        <v>93</v>
      </c>
      <c r="C328" s="52" t="s">
        <v>56</v>
      </c>
      <c r="D328" s="47"/>
      <c r="E328" s="48" t="s">
        <v>681</v>
      </c>
      <c r="F328" s="93">
        <f>F329+F331+F333++F335+F337+F339+F341+F343+F345</f>
        <v>84776.8</v>
      </c>
      <c r="G328" s="93">
        <f t="shared" ref="G328:H328" si="70">G329+G331+G333++G335+G337+G339+G341+G343+G345</f>
        <v>20727</v>
      </c>
      <c r="H328" s="93">
        <f t="shared" si="70"/>
        <v>15526.999999999998</v>
      </c>
    </row>
    <row r="329" spans="1:8" ht="38.25" x14ac:dyDescent="0.2">
      <c r="A329" s="16" t="s">
        <v>95</v>
      </c>
      <c r="B329" s="82" t="s">
        <v>93</v>
      </c>
      <c r="C329" s="74">
        <v>1210123505</v>
      </c>
      <c r="D329" s="21"/>
      <c r="E329" s="98" t="s">
        <v>517</v>
      </c>
      <c r="F329" s="41">
        <f>F330</f>
        <v>2608.8999999999996</v>
      </c>
      <c r="G329" s="41">
        <f>G330</f>
        <v>0</v>
      </c>
      <c r="H329" s="41">
        <f>H330</f>
        <v>0</v>
      </c>
    </row>
    <row r="330" spans="1:8" ht="38.25" x14ac:dyDescent="0.2">
      <c r="A330" s="82" t="s">
        <v>95</v>
      </c>
      <c r="B330" s="82" t="s">
        <v>93</v>
      </c>
      <c r="C330" s="74">
        <v>1210123505</v>
      </c>
      <c r="D330" s="82" t="s">
        <v>211</v>
      </c>
      <c r="E330" s="98" t="s">
        <v>212</v>
      </c>
      <c r="F330" s="39">
        <f>1266.2-65.9+22.4+1233+153.2</f>
        <v>2608.8999999999996</v>
      </c>
      <c r="G330" s="39">
        <v>0</v>
      </c>
      <c r="H330" s="39">
        <v>0</v>
      </c>
    </row>
    <row r="331" spans="1:8" ht="63.75" x14ac:dyDescent="0.2">
      <c r="A331" s="16" t="s">
        <v>95</v>
      </c>
      <c r="B331" s="82" t="s">
        <v>93</v>
      </c>
      <c r="C331" s="74">
        <v>1210123510</v>
      </c>
      <c r="D331" s="21"/>
      <c r="E331" s="98" t="s">
        <v>748</v>
      </c>
      <c r="F331" s="41">
        <f>F332</f>
        <v>574.70000000000005</v>
      </c>
      <c r="G331" s="41">
        <f t="shared" ref="G331:H331" si="71">G332</f>
        <v>0</v>
      </c>
      <c r="H331" s="41">
        <f t="shared" si="71"/>
        <v>0</v>
      </c>
    </row>
    <row r="332" spans="1:8" ht="38.25" x14ac:dyDescent="0.2">
      <c r="A332" s="82" t="s">
        <v>95</v>
      </c>
      <c r="B332" s="82" t="s">
        <v>93</v>
      </c>
      <c r="C332" s="74">
        <v>1210123510</v>
      </c>
      <c r="D332" s="82" t="s">
        <v>211</v>
      </c>
      <c r="E332" s="98" t="s">
        <v>212</v>
      </c>
      <c r="F332" s="41">
        <v>574.70000000000005</v>
      </c>
      <c r="G332" s="41">
        <v>0</v>
      </c>
      <c r="H332" s="41">
        <v>0</v>
      </c>
    </row>
    <row r="333" spans="1:8" ht="76.5" x14ac:dyDescent="0.2">
      <c r="A333" s="16" t="s">
        <v>95</v>
      </c>
      <c r="B333" s="82" t="s">
        <v>93</v>
      </c>
      <c r="C333" s="74">
        <v>1210121100</v>
      </c>
      <c r="D333" s="21"/>
      <c r="E333" s="98" t="s">
        <v>673</v>
      </c>
      <c r="F333" s="41">
        <f>SUM(F334:F334)</f>
        <v>17226</v>
      </c>
      <c r="G333" s="41">
        <f>SUM(G334:G334)</f>
        <v>14144.9</v>
      </c>
      <c r="H333" s="41">
        <f>SUM(H334:H334)</f>
        <v>8944.9</v>
      </c>
    </row>
    <row r="334" spans="1:8" x14ac:dyDescent="0.2">
      <c r="A334" s="82" t="s">
        <v>95</v>
      </c>
      <c r="B334" s="82" t="s">
        <v>93</v>
      </c>
      <c r="C334" s="74">
        <v>1210121100</v>
      </c>
      <c r="D334" s="21" t="s">
        <v>225</v>
      </c>
      <c r="E334" s="98" t="s">
        <v>224</v>
      </c>
      <c r="F334" s="41">
        <v>17226</v>
      </c>
      <c r="G334" s="41">
        <f>14210.8-65.9</f>
        <v>14144.9</v>
      </c>
      <c r="H334" s="41">
        <f>9010.8-65.9</f>
        <v>8944.9</v>
      </c>
    </row>
    <row r="335" spans="1:8" ht="38.25" x14ac:dyDescent="0.2">
      <c r="A335" s="16" t="s">
        <v>95</v>
      </c>
      <c r="B335" s="82" t="s">
        <v>93</v>
      </c>
      <c r="C335" s="74">
        <v>1210121800</v>
      </c>
      <c r="D335" s="16"/>
      <c r="E335" s="98" t="s">
        <v>718</v>
      </c>
      <c r="F335" s="41">
        <f>F336</f>
        <v>3047</v>
      </c>
      <c r="G335" s="41">
        <f>G336</f>
        <v>0</v>
      </c>
      <c r="H335" s="41">
        <f>H336</f>
        <v>0</v>
      </c>
    </row>
    <row r="336" spans="1:8" x14ac:dyDescent="0.2">
      <c r="A336" s="82" t="s">
        <v>95</v>
      </c>
      <c r="B336" s="82" t="s">
        <v>93</v>
      </c>
      <c r="C336" s="74">
        <v>1210121800</v>
      </c>
      <c r="D336" s="21" t="s">
        <v>225</v>
      </c>
      <c r="E336" s="98" t="s">
        <v>224</v>
      </c>
      <c r="F336" s="41">
        <f>547+2500</f>
        <v>3047</v>
      </c>
      <c r="G336" s="41">
        <v>0</v>
      </c>
      <c r="H336" s="41">
        <v>0</v>
      </c>
    </row>
    <row r="337" spans="1:8" ht="25.5" x14ac:dyDescent="0.2">
      <c r="A337" s="82" t="s">
        <v>95</v>
      </c>
      <c r="B337" s="82" t="s">
        <v>93</v>
      </c>
      <c r="C337" s="74">
        <v>1210123515</v>
      </c>
      <c r="D337" s="16"/>
      <c r="E337" s="98" t="s">
        <v>767</v>
      </c>
      <c r="F337" s="41">
        <f>F338</f>
        <v>400</v>
      </c>
      <c r="G337" s="41">
        <f t="shared" ref="G337:H337" si="72">G338</f>
        <v>0</v>
      </c>
      <c r="H337" s="41">
        <f t="shared" si="72"/>
        <v>0</v>
      </c>
    </row>
    <row r="338" spans="1:8" ht="38.25" x14ac:dyDescent="0.2">
      <c r="A338" s="82" t="s">
        <v>95</v>
      </c>
      <c r="B338" s="82" t="s">
        <v>93</v>
      </c>
      <c r="C338" s="74">
        <v>1210123515</v>
      </c>
      <c r="D338" s="82" t="s">
        <v>211</v>
      </c>
      <c r="E338" s="98" t="s">
        <v>212</v>
      </c>
      <c r="F338" s="41">
        <v>400</v>
      </c>
      <c r="G338" s="41">
        <v>0</v>
      </c>
      <c r="H338" s="41">
        <v>0</v>
      </c>
    </row>
    <row r="339" spans="1:8" ht="38.25" x14ac:dyDescent="0.2">
      <c r="A339" s="16" t="s">
        <v>95</v>
      </c>
      <c r="B339" s="82" t="s">
        <v>93</v>
      </c>
      <c r="C339" s="74">
        <v>1210211450</v>
      </c>
      <c r="D339" s="16"/>
      <c r="E339" s="98" t="s">
        <v>674</v>
      </c>
      <c r="F339" s="41">
        <f>F340</f>
        <v>6516.2</v>
      </c>
      <c r="G339" s="41">
        <f>G340</f>
        <v>6516.2</v>
      </c>
      <c r="H339" s="41">
        <f>H340</f>
        <v>6516.2</v>
      </c>
    </row>
    <row r="340" spans="1:8" ht="38.25" x14ac:dyDescent="0.2">
      <c r="A340" s="82" t="s">
        <v>95</v>
      </c>
      <c r="B340" s="82" t="s">
        <v>93</v>
      </c>
      <c r="C340" s="74">
        <v>1210211450</v>
      </c>
      <c r="D340" s="82" t="s">
        <v>211</v>
      </c>
      <c r="E340" s="98" t="s">
        <v>212</v>
      </c>
      <c r="F340" s="39">
        <v>6516.2</v>
      </c>
      <c r="G340" s="39">
        <v>6516.2</v>
      </c>
      <c r="H340" s="39">
        <v>6516.2</v>
      </c>
    </row>
    <row r="341" spans="1:8" ht="38.25" x14ac:dyDescent="0.2">
      <c r="A341" s="16" t="s">
        <v>95</v>
      </c>
      <c r="B341" s="82" t="s">
        <v>93</v>
      </c>
      <c r="C341" s="74" t="s">
        <v>680</v>
      </c>
      <c r="D341" s="21"/>
      <c r="E341" s="98" t="s">
        <v>674</v>
      </c>
      <c r="F341" s="39">
        <f>F342</f>
        <v>65.900000000000006</v>
      </c>
      <c r="G341" s="39">
        <f t="shared" ref="G341:H341" si="73">G342</f>
        <v>65.900000000000006</v>
      </c>
      <c r="H341" s="39">
        <f t="shared" si="73"/>
        <v>65.900000000000006</v>
      </c>
    </row>
    <row r="342" spans="1:8" ht="38.25" x14ac:dyDescent="0.2">
      <c r="A342" s="82" t="s">
        <v>95</v>
      </c>
      <c r="B342" s="82" t="s">
        <v>93</v>
      </c>
      <c r="C342" s="74" t="s">
        <v>680</v>
      </c>
      <c r="D342" s="82" t="s">
        <v>211</v>
      </c>
      <c r="E342" s="98" t="s">
        <v>212</v>
      </c>
      <c r="F342" s="39">
        <v>65.900000000000006</v>
      </c>
      <c r="G342" s="39">
        <v>65.900000000000006</v>
      </c>
      <c r="H342" s="39">
        <v>65.900000000000006</v>
      </c>
    </row>
    <row r="343" spans="1:8" ht="25.5" x14ac:dyDescent="0.2">
      <c r="A343" s="16" t="s">
        <v>95</v>
      </c>
      <c r="B343" s="82" t="s">
        <v>93</v>
      </c>
      <c r="C343" s="21" t="s">
        <v>774</v>
      </c>
      <c r="D343" s="82"/>
      <c r="E343" s="98" t="s">
        <v>775</v>
      </c>
      <c r="F343" s="39">
        <f>F344</f>
        <v>28181.4</v>
      </c>
      <c r="G343" s="39">
        <f t="shared" ref="G343:H343" si="74">G344</f>
        <v>0</v>
      </c>
      <c r="H343" s="39">
        <f t="shared" si="74"/>
        <v>0</v>
      </c>
    </row>
    <row r="344" spans="1:8" ht="38.25" x14ac:dyDescent="0.2">
      <c r="A344" s="82" t="s">
        <v>95</v>
      </c>
      <c r="B344" s="82" t="s">
        <v>93</v>
      </c>
      <c r="C344" s="21" t="s">
        <v>774</v>
      </c>
      <c r="D344" s="82" t="s">
        <v>211</v>
      </c>
      <c r="E344" s="98" t="s">
        <v>212</v>
      </c>
      <c r="F344" s="39">
        <v>28181.4</v>
      </c>
      <c r="G344" s="39">
        <v>0</v>
      </c>
      <c r="H344" s="39">
        <v>0</v>
      </c>
    </row>
    <row r="345" spans="1:8" ht="25.5" x14ac:dyDescent="0.2">
      <c r="A345" s="16" t="s">
        <v>95</v>
      </c>
      <c r="B345" s="82" t="s">
        <v>93</v>
      </c>
      <c r="C345" s="21" t="s">
        <v>776</v>
      </c>
      <c r="D345" s="82"/>
      <c r="E345" s="98" t="s">
        <v>775</v>
      </c>
      <c r="F345" s="39">
        <f>F346</f>
        <v>26156.7</v>
      </c>
      <c r="G345" s="39">
        <f t="shared" ref="G345:H345" si="75">G346</f>
        <v>0</v>
      </c>
      <c r="H345" s="39">
        <f t="shared" si="75"/>
        <v>0</v>
      </c>
    </row>
    <row r="346" spans="1:8" ht="38.25" x14ac:dyDescent="0.2">
      <c r="A346" s="82" t="s">
        <v>95</v>
      </c>
      <c r="B346" s="82" t="s">
        <v>93</v>
      </c>
      <c r="C346" s="21" t="s">
        <v>776</v>
      </c>
      <c r="D346" s="82" t="s">
        <v>211</v>
      </c>
      <c r="E346" s="98" t="s">
        <v>212</v>
      </c>
      <c r="F346" s="39">
        <v>26156.7</v>
      </c>
      <c r="G346" s="39">
        <v>0</v>
      </c>
      <c r="H346" s="39">
        <v>0</v>
      </c>
    </row>
    <row r="347" spans="1:8" ht="25.5" x14ac:dyDescent="0.2">
      <c r="A347" s="82" t="s">
        <v>95</v>
      </c>
      <c r="B347" s="82" t="s">
        <v>93</v>
      </c>
      <c r="C347" s="52" t="s">
        <v>57</v>
      </c>
      <c r="D347" s="47"/>
      <c r="E347" s="48" t="s">
        <v>25</v>
      </c>
      <c r="F347" s="93">
        <f>F348+F350</f>
        <v>2678.2</v>
      </c>
      <c r="G347" s="93">
        <f t="shared" ref="G347:H347" si="76">G348+G350</f>
        <v>1325</v>
      </c>
      <c r="H347" s="93">
        <f t="shared" si="76"/>
        <v>850</v>
      </c>
    </row>
    <row r="348" spans="1:8" ht="25.5" x14ac:dyDescent="0.2">
      <c r="A348" s="82" t="s">
        <v>95</v>
      </c>
      <c r="B348" s="82" t="s">
        <v>93</v>
      </c>
      <c r="C348" s="79">
        <v>1220123525</v>
      </c>
      <c r="D348" s="16"/>
      <c r="E348" s="98" t="s">
        <v>190</v>
      </c>
      <c r="F348" s="41">
        <f t="shared" ref="F348:H348" si="77">F349</f>
        <v>2678.2</v>
      </c>
      <c r="G348" s="41">
        <f t="shared" si="77"/>
        <v>850</v>
      </c>
      <c r="H348" s="41">
        <f t="shared" si="77"/>
        <v>850</v>
      </c>
    </row>
    <row r="349" spans="1:8" ht="38.25" x14ac:dyDescent="0.2">
      <c r="A349" s="82" t="s">
        <v>95</v>
      </c>
      <c r="B349" s="82" t="s">
        <v>93</v>
      </c>
      <c r="C349" s="79">
        <v>1220123525</v>
      </c>
      <c r="D349" s="82" t="s">
        <v>211</v>
      </c>
      <c r="E349" s="98" t="s">
        <v>212</v>
      </c>
      <c r="F349" s="41">
        <v>2678.2</v>
      </c>
      <c r="G349" s="41">
        <v>850</v>
      </c>
      <c r="H349" s="41">
        <v>850</v>
      </c>
    </row>
    <row r="350" spans="1:8" ht="25.5" x14ac:dyDescent="0.2">
      <c r="A350" s="82" t="s">
        <v>95</v>
      </c>
      <c r="B350" s="82" t="s">
        <v>93</v>
      </c>
      <c r="C350" s="79">
        <v>1220223530</v>
      </c>
      <c r="D350" s="16"/>
      <c r="E350" s="98" t="s">
        <v>191</v>
      </c>
      <c r="F350" s="41">
        <f>F351</f>
        <v>0</v>
      </c>
      <c r="G350" s="41">
        <f>G351</f>
        <v>475</v>
      </c>
      <c r="H350" s="41">
        <f>H351</f>
        <v>0</v>
      </c>
    </row>
    <row r="351" spans="1:8" ht="38.25" x14ac:dyDescent="0.2">
      <c r="A351" s="82" t="s">
        <v>95</v>
      </c>
      <c r="B351" s="82" t="s">
        <v>93</v>
      </c>
      <c r="C351" s="79">
        <v>1220223530</v>
      </c>
      <c r="D351" s="82" t="s">
        <v>211</v>
      </c>
      <c r="E351" s="98" t="s">
        <v>212</v>
      </c>
      <c r="F351" s="39">
        <v>0</v>
      </c>
      <c r="G351" s="39">
        <v>475</v>
      </c>
      <c r="H351" s="39">
        <v>0</v>
      </c>
    </row>
    <row r="352" spans="1:8" ht="41.25" customHeight="1" x14ac:dyDescent="0.2">
      <c r="A352" s="82" t="s">
        <v>95</v>
      </c>
      <c r="B352" s="82" t="s">
        <v>93</v>
      </c>
      <c r="C352" s="52" t="s">
        <v>58</v>
      </c>
      <c r="D352" s="47"/>
      <c r="E352" s="48" t="s">
        <v>608</v>
      </c>
      <c r="F352" s="93">
        <f>F353+F355+F357</f>
        <v>1755.5</v>
      </c>
      <c r="G352" s="93">
        <f t="shared" ref="G352:H352" si="78">G353+G355+G357</f>
        <v>107</v>
      </c>
      <c r="H352" s="93">
        <f t="shared" si="78"/>
        <v>107</v>
      </c>
    </row>
    <row r="353" spans="1:8" ht="30" customHeight="1" x14ac:dyDescent="0.2">
      <c r="A353" s="82" t="s">
        <v>95</v>
      </c>
      <c r="B353" s="82" t="s">
        <v>93</v>
      </c>
      <c r="C353" s="21" t="s">
        <v>703</v>
      </c>
      <c r="D353" s="16"/>
      <c r="E353" s="98" t="s">
        <v>704</v>
      </c>
      <c r="F353" s="41">
        <f>F354</f>
        <v>282.8</v>
      </c>
      <c r="G353" s="41">
        <f t="shared" ref="G353:H353" si="79">G354</f>
        <v>0</v>
      </c>
      <c r="H353" s="41">
        <f t="shared" si="79"/>
        <v>0</v>
      </c>
    </row>
    <row r="354" spans="1:8" ht="41.25" customHeight="1" x14ac:dyDescent="0.2">
      <c r="A354" s="82" t="s">
        <v>95</v>
      </c>
      <c r="B354" s="82" t="s">
        <v>93</v>
      </c>
      <c r="C354" s="21" t="s">
        <v>703</v>
      </c>
      <c r="D354" s="82" t="s">
        <v>211</v>
      </c>
      <c r="E354" s="98" t="s">
        <v>212</v>
      </c>
      <c r="F354" s="41">
        <v>282.8</v>
      </c>
      <c r="G354" s="39">
        <v>0</v>
      </c>
      <c r="H354" s="39">
        <v>0</v>
      </c>
    </row>
    <row r="355" spans="1:8" ht="25.5" x14ac:dyDescent="0.2">
      <c r="A355" s="82" t="s">
        <v>95</v>
      </c>
      <c r="B355" s="82" t="s">
        <v>93</v>
      </c>
      <c r="C355" s="21" t="s">
        <v>520</v>
      </c>
      <c r="D355" s="16"/>
      <c r="E355" s="98" t="s">
        <v>23</v>
      </c>
      <c r="F355" s="41">
        <f>F356</f>
        <v>1309.7</v>
      </c>
      <c r="G355" s="41">
        <f>G356</f>
        <v>100</v>
      </c>
      <c r="H355" s="41">
        <f>H356</f>
        <v>100</v>
      </c>
    </row>
    <row r="356" spans="1:8" ht="38.25" x14ac:dyDescent="0.2">
      <c r="A356" s="82" t="s">
        <v>95</v>
      </c>
      <c r="B356" s="82" t="s">
        <v>93</v>
      </c>
      <c r="C356" s="21" t="s">
        <v>520</v>
      </c>
      <c r="D356" s="82" t="s">
        <v>211</v>
      </c>
      <c r="E356" s="98" t="s">
        <v>212</v>
      </c>
      <c r="F356" s="41">
        <f>2062.9-153.2-600</f>
        <v>1309.7</v>
      </c>
      <c r="G356" s="41">
        <v>100</v>
      </c>
      <c r="H356" s="41">
        <v>100</v>
      </c>
    </row>
    <row r="357" spans="1:8" ht="25.5" x14ac:dyDescent="0.2">
      <c r="A357" s="82" t="s">
        <v>95</v>
      </c>
      <c r="B357" s="82" t="s">
        <v>93</v>
      </c>
      <c r="C357" s="21" t="s">
        <v>521</v>
      </c>
      <c r="D357" s="16"/>
      <c r="E357" s="98" t="s">
        <v>192</v>
      </c>
      <c r="F357" s="41">
        <f>F358</f>
        <v>163</v>
      </c>
      <c r="G357" s="41">
        <f>G358</f>
        <v>7</v>
      </c>
      <c r="H357" s="41">
        <f>H358</f>
        <v>7</v>
      </c>
    </row>
    <row r="358" spans="1:8" ht="38.25" x14ac:dyDescent="0.2">
      <c r="A358" s="82" t="s">
        <v>95</v>
      </c>
      <c r="B358" s="82" t="s">
        <v>93</v>
      </c>
      <c r="C358" s="21" t="s">
        <v>521</v>
      </c>
      <c r="D358" s="82" t="s">
        <v>211</v>
      </c>
      <c r="E358" s="98" t="s">
        <v>212</v>
      </c>
      <c r="F358" s="41">
        <v>163</v>
      </c>
      <c r="G358" s="41">
        <v>7</v>
      </c>
      <c r="H358" s="41">
        <v>7</v>
      </c>
    </row>
    <row r="359" spans="1:8" ht="51" x14ac:dyDescent="0.2">
      <c r="A359" s="82" t="s">
        <v>95</v>
      </c>
      <c r="B359" s="82" t="s">
        <v>93</v>
      </c>
      <c r="C359" s="52" t="s">
        <v>522</v>
      </c>
      <c r="D359" s="16"/>
      <c r="E359" s="60" t="s">
        <v>523</v>
      </c>
      <c r="F359" s="41">
        <f>F360+F362+F364</f>
        <v>18026.900000000001</v>
      </c>
      <c r="G359" s="41">
        <f t="shared" ref="G359:H359" si="80">G360+G362+G364</f>
        <v>8657.5</v>
      </c>
      <c r="H359" s="41">
        <f t="shared" si="80"/>
        <v>14357.5</v>
      </c>
    </row>
    <row r="360" spans="1:8" ht="38.25" x14ac:dyDescent="0.2">
      <c r="A360" s="16" t="s">
        <v>95</v>
      </c>
      <c r="B360" s="16" t="s">
        <v>93</v>
      </c>
      <c r="C360" s="21" t="s">
        <v>525</v>
      </c>
      <c r="D360" s="82"/>
      <c r="E360" s="98" t="s">
        <v>526</v>
      </c>
      <c r="F360" s="41">
        <f t="shared" ref="F360:H360" si="81">F361</f>
        <v>9844</v>
      </c>
      <c r="G360" s="41">
        <f t="shared" si="81"/>
        <v>3800</v>
      </c>
      <c r="H360" s="41">
        <f t="shared" si="81"/>
        <v>9500</v>
      </c>
    </row>
    <row r="361" spans="1:8" ht="38.25" x14ac:dyDescent="0.2">
      <c r="A361" s="16" t="s">
        <v>95</v>
      </c>
      <c r="B361" s="16" t="s">
        <v>93</v>
      </c>
      <c r="C361" s="21" t="s">
        <v>525</v>
      </c>
      <c r="D361" s="82" t="s">
        <v>211</v>
      </c>
      <c r="E361" s="98" t="s">
        <v>212</v>
      </c>
      <c r="F361" s="41">
        <v>9844</v>
      </c>
      <c r="G361" s="41">
        <v>3800</v>
      </c>
      <c r="H361" s="41">
        <v>9500</v>
      </c>
    </row>
    <row r="362" spans="1:8" ht="25.5" x14ac:dyDescent="0.2">
      <c r="A362" s="16" t="s">
        <v>95</v>
      </c>
      <c r="B362" s="16" t="s">
        <v>93</v>
      </c>
      <c r="C362" s="21" t="s">
        <v>768</v>
      </c>
      <c r="D362" s="82"/>
      <c r="E362" s="98" t="s">
        <v>769</v>
      </c>
      <c r="F362" s="41">
        <f>F363</f>
        <v>483.1</v>
      </c>
      <c r="G362" s="41">
        <f t="shared" ref="G362:H362" si="82">G363</f>
        <v>0</v>
      </c>
      <c r="H362" s="41">
        <f t="shared" si="82"/>
        <v>0</v>
      </c>
    </row>
    <row r="363" spans="1:8" ht="38.25" x14ac:dyDescent="0.2">
      <c r="A363" s="16" t="s">
        <v>95</v>
      </c>
      <c r="B363" s="16" t="s">
        <v>93</v>
      </c>
      <c r="C363" s="21" t="s">
        <v>768</v>
      </c>
      <c r="D363" s="82" t="s">
        <v>211</v>
      </c>
      <c r="E363" s="98" t="s">
        <v>212</v>
      </c>
      <c r="F363" s="41">
        <f>241.5+241.6</f>
        <v>483.1</v>
      </c>
      <c r="G363" s="41">
        <v>0</v>
      </c>
      <c r="H363" s="41">
        <v>0</v>
      </c>
    </row>
    <row r="364" spans="1:8" ht="89.25" x14ac:dyDescent="0.2">
      <c r="A364" s="16" t="s">
        <v>95</v>
      </c>
      <c r="B364" s="16" t="s">
        <v>93</v>
      </c>
      <c r="C364" s="21" t="s">
        <v>675</v>
      </c>
      <c r="D364" s="82"/>
      <c r="E364" s="98" t="s">
        <v>676</v>
      </c>
      <c r="F364" s="41">
        <f>F365</f>
        <v>7699.8</v>
      </c>
      <c r="G364" s="41">
        <f t="shared" ref="G364:H364" si="83">G365</f>
        <v>4857.5</v>
      </c>
      <c r="H364" s="41">
        <f t="shared" si="83"/>
        <v>4857.5</v>
      </c>
    </row>
    <row r="365" spans="1:8" x14ac:dyDescent="0.2">
      <c r="A365" s="16" t="s">
        <v>95</v>
      </c>
      <c r="B365" s="16" t="s">
        <v>93</v>
      </c>
      <c r="C365" s="21" t="s">
        <v>675</v>
      </c>
      <c r="D365" s="21" t="s">
        <v>225</v>
      </c>
      <c r="E365" s="98" t="s">
        <v>224</v>
      </c>
      <c r="F365" s="41">
        <v>7699.8</v>
      </c>
      <c r="G365" s="41">
        <v>4857.5</v>
      </c>
      <c r="H365" s="41">
        <v>4857.5</v>
      </c>
    </row>
    <row r="366" spans="1:8" ht="89.25" x14ac:dyDescent="0.2">
      <c r="A366" s="5" t="s">
        <v>95</v>
      </c>
      <c r="B366" s="5" t="s">
        <v>93</v>
      </c>
      <c r="C366" s="76">
        <v>1400000000</v>
      </c>
      <c r="D366" s="16"/>
      <c r="E366" s="141" t="s">
        <v>586</v>
      </c>
      <c r="F366" s="96">
        <f>F367</f>
        <v>127117.69999999998</v>
      </c>
      <c r="G366" s="96">
        <f>G367</f>
        <v>0</v>
      </c>
      <c r="H366" s="96">
        <f>H367</f>
        <v>0</v>
      </c>
    </row>
    <row r="367" spans="1:8" ht="89.25" x14ac:dyDescent="0.2">
      <c r="A367" s="47" t="s">
        <v>95</v>
      </c>
      <c r="B367" s="47" t="s">
        <v>93</v>
      </c>
      <c r="C367" s="75">
        <v>1410000000</v>
      </c>
      <c r="D367" s="16"/>
      <c r="E367" s="48" t="s">
        <v>216</v>
      </c>
      <c r="F367" s="93">
        <f>F368+F370+F372+F374</f>
        <v>127117.69999999998</v>
      </c>
      <c r="G367" s="93">
        <f t="shared" ref="G367:H367" si="84">G368+G370+G372+G374</f>
        <v>0</v>
      </c>
      <c r="H367" s="93">
        <f t="shared" si="84"/>
        <v>0</v>
      </c>
    </row>
    <row r="368" spans="1:8" ht="38.25" x14ac:dyDescent="0.2">
      <c r="A368" s="82" t="s">
        <v>95</v>
      </c>
      <c r="B368" s="82" t="s">
        <v>93</v>
      </c>
      <c r="C368" s="74">
        <v>1410223125</v>
      </c>
      <c r="D368" s="82"/>
      <c r="E368" s="98" t="s">
        <v>639</v>
      </c>
      <c r="F368" s="41">
        <f>F369</f>
        <v>676.30000000000007</v>
      </c>
      <c r="G368" s="41">
        <f>G369</f>
        <v>0</v>
      </c>
      <c r="H368" s="41">
        <f>H369</f>
        <v>0</v>
      </c>
    </row>
    <row r="369" spans="1:8" ht="38.25" x14ac:dyDescent="0.2">
      <c r="A369" s="82" t="s">
        <v>95</v>
      </c>
      <c r="B369" s="82" t="s">
        <v>93</v>
      </c>
      <c r="C369" s="74">
        <v>1410223125</v>
      </c>
      <c r="D369" s="82" t="s">
        <v>211</v>
      </c>
      <c r="E369" s="98" t="s">
        <v>212</v>
      </c>
      <c r="F369" s="41">
        <f>685.6-9.3</f>
        <v>676.30000000000007</v>
      </c>
      <c r="G369" s="41">
        <v>0</v>
      </c>
      <c r="H369" s="41">
        <v>0</v>
      </c>
    </row>
    <row r="370" spans="1:8" ht="25.5" x14ac:dyDescent="0.2">
      <c r="A370" s="82" t="s">
        <v>95</v>
      </c>
      <c r="B370" s="82" t="s">
        <v>93</v>
      </c>
      <c r="C370" s="74">
        <v>1410223130</v>
      </c>
      <c r="D370" s="82"/>
      <c r="E370" s="108" t="s">
        <v>640</v>
      </c>
      <c r="F370" s="41">
        <f>F371</f>
        <v>18918.2</v>
      </c>
      <c r="G370" s="41">
        <f t="shared" ref="G370:H370" si="85">G371</f>
        <v>0</v>
      </c>
      <c r="H370" s="41">
        <f t="shared" si="85"/>
        <v>0</v>
      </c>
    </row>
    <row r="371" spans="1:8" ht="38.25" x14ac:dyDescent="0.2">
      <c r="A371" s="82" t="s">
        <v>95</v>
      </c>
      <c r="B371" s="82" t="s">
        <v>93</v>
      </c>
      <c r="C371" s="74">
        <v>1410223130</v>
      </c>
      <c r="D371" s="82" t="s">
        <v>211</v>
      </c>
      <c r="E371" s="98" t="s">
        <v>212</v>
      </c>
      <c r="F371" s="41">
        <f>14930.6-930.6+4918.2</f>
        <v>18918.2</v>
      </c>
      <c r="G371" s="41">
        <v>0</v>
      </c>
      <c r="H371" s="41">
        <v>0</v>
      </c>
    </row>
    <row r="372" spans="1:8" ht="38.25" x14ac:dyDescent="0.2">
      <c r="A372" s="16" t="s">
        <v>95</v>
      </c>
      <c r="B372" s="16" t="s">
        <v>93</v>
      </c>
      <c r="C372" s="74" t="s">
        <v>349</v>
      </c>
      <c r="D372" s="16"/>
      <c r="E372" s="98" t="s">
        <v>316</v>
      </c>
      <c r="F372" s="41">
        <f>F373</f>
        <v>13527.6</v>
      </c>
      <c r="G372" s="41">
        <f>G373</f>
        <v>0</v>
      </c>
      <c r="H372" s="41">
        <f>H373</f>
        <v>0</v>
      </c>
    </row>
    <row r="373" spans="1:8" ht="38.25" x14ac:dyDescent="0.2">
      <c r="A373" s="82" t="s">
        <v>95</v>
      </c>
      <c r="B373" s="16" t="s">
        <v>93</v>
      </c>
      <c r="C373" s="74" t="s">
        <v>349</v>
      </c>
      <c r="D373" s="82" t="s">
        <v>211</v>
      </c>
      <c r="E373" s="98" t="s">
        <v>212</v>
      </c>
      <c r="F373" s="41">
        <v>13527.6</v>
      </c>
      <c r="G373" s="41">
        <v>0</v>
      </c>
      <c r="H373" s="41">
        <v>0</v>
      </c>
    </row>
    <row r="374" spans="1:8" ht="63.75" x14ac:dyDescent="0.2">
      <c r="A374" s="16" t="s">
        <v>95</v>
      </c>
      <c r="B374" s="16" t="s">
        <v>93</v>
      </c>
      <c r="C374" s="129" t="s">
        <v>664</v>
      </c>
      <c r="D374" s="16"/>
      <c r="E374" s="98" t="s">
        <v>665</v>
      </c>
      <c r="F374" s="41">
        <f>F375</f>
        <v>93995.599999999991</v>
      </c>
      <c r="G374" s="41">
        <f>G375</f>
        <v>0</v>
      </c>
      <c r="H374" s="41">
        <f>H375</f>
        <v>0</v>
      </c>
    </row>
    <row r="375" spans="1:8" x14ac:dyDescent="0.2">
      <c r="A375" s="82" t="s">
        <v>95</v>
      </c>
      <c r="B375" s="16" t="s">
        <v>93</v>
      </c>
      <c r="C375" s="129" t="s">
        <v>664</v>
      </c>
      <c r="D375" s="21" t="s">
        <v>225</v>
      </c>
      <c r="E375" s="98" t="s">
        <v>224</v>
      </c>
      <c r="F375" s="41">
        <f>93055.7+939.9</f>
        <v>93995.599999999991</v>
      </c>
      <c r="G375" s="41">
        <v>0</v>
      </c>
      <c r="H375" s="41">
        <v>0</v>
      </c>
    </row>
    <row r="376" spans="1:8" ht="127.5" x14ac:dyDescent="0.2">
      <c r="A376" s="5" t="s">
        <v>95</v>
      </c>
      <c r="B376" s="5" t="s">
        <v>93</v>
      </c>
      <c r="C376" s="73" t="s">
        <v>540</v>
      </c>
      <c r="D376" s="82"/>
      <c r="E376" s="141" t="s">
        <v>587</v>
      </c>
      <c r="F376" s="96">
        <f>F377+F380</f>
        <v>19349</v>
      </c>
      <c r="G376" s="96">
        <f t="shared" ref="G376:H377" si="86">G377</f>
        <v>300</v>
      </c>
      <c r="H376" s="96">
        <f t="shared" si="86"/>
        <v>300</v>
      </c>
    </row>
    <row r="377" spans="1:8" ht="63.75" x14ac:dyDescent="0.2">
      <c r="A377" s="47" t="s">
        <v>95</v>
      </c>
      <c r="B377" s="47" t="s">
        <v>93</v>
      </c>
      <c r="C377" s="140">
        <v>1510000000</v>
      </c>
      <c r="D377" s="82"/>
      <c r="E377" s="48" t="s">
        <v>361</v>
      </c>
      <c r="F377" s="41">
        <f>F378</f>
        <v>0</v>
      </c>
      <c r="G377" s="41">
        <f t="shared" si="86"/>
        <v>300</v>
      </c>
      <c r="H377" s="41">
        <f t="shared" si="86"/>
        <v>300</v>
      </c>
    </row>
    <row r="378" spans="1:8" ht="63.75" customHeight="1" x14ac:dyDescent="0.2">
      <c r="A378" s="166" t="s">
        <v>95</v>
      </c>
      <c r="B378" s="167" t="s">
        <v>93</v>
      </c>
      <c r="C378" s="168" t="s">
        <v>730</v>
      </c>
      <c r="D378" s="82"/>
      <c r="E378" s="99" t="s">
        <v>731</v>
      </c>
      <c r="F378" s="41">
        <f>F379</f>
        <v>0</v>
      </c>
      <c r="G378" s="41">
        <f t="shared" ref="G378:H378" si="87">G379</f>
        <v>300</v>
      </c>
      <c r="H378" s="41">
        <f t="shared" si="87"/>
        <v>300</v>
      </c>
    </row>
    <row r="379" spans="1:8" ht="39" customHeight="1" x14ac:dyDescent="0.2">
      <c r="A379" s="166" t="s">
        <v>95</v>
      </c>
      <c r="B379" s="167" t="s">
        <v>93</v>
      </c>
      <c r="C379" s="168" t="s">
        <v>730</v>
      </c>
      <c r="D379" s="82" t="s">
        <v>211</v>
      </c>
      <c r="E379" s="99" t="s">
        <v>212</v>
      </c>
      <c r="F379" s="41">
        <v>0</v>
      </c>
      <c r="G379" s="41">
        <v>300</v>
      </c>
      <c r="H379" s="41">
        <v>300</v>
      </c>
    </row>
    <row r="380" spans="1:8" ht="63.75" x14ac:dyDescent="0.2">
      <c r="A380" s="166" t="s">
        <v>95</v>
      </c>
      <c r="B380" s="167" t="s">
        <v>93</v>
      </c>
      <c r="C380" s="140">
        <v>1520000000</v>
      </c>
      <c r="D380" s="82"/>
      <c r="E380" s="48" t="s">
        <v>763</v>
      </c>
      <c r="F380" s="170">
        <f>F381</f>
        <v>19349</v>
      </c>
      <c r="G380" s="170">
        <f t="shared" ref="G380:H381" si="88">G381</f>
        <v>0</v>
      </c>
      <c r="H380" s="170">
        <f t="shared" si="88"/>
        <v>0</v>
      </c>
    </row>
    <row r="381" spans="1:8" ht="54" customHeight="1" x14ac:dyDescent="0.2">
      <c r="A381" s="166" t="s">
        <v>95</v>
      </c>
      <c r="B381" s="167" t="s">
        <v>93</v>
      </c>
      <c r="C381" s="129">
        <v>1520424016</v>
      </c>
      <c r="D381" s="82"/>
      <c r="E381" s="98" t="s">
        <v>764</v>
      </c>
      <c r="F381" s="170">
        <f>F382</f>
        <v>19349</v>
      </c>
      <c r="G381" s="170">
        <f t="shared" si="88"/>
        <v>0</v>
      </c>
      <c r="H381" s="170">
        <f t="shared" si="88"/>
        <v>0</v>
      </c>
    </row>
    <row r="382" spans="1:8" ht="38.25" x14ac:dyDescent="0.2">
      <c r="A382" s="166" t="s">
        <v>95</v>
      </c>
      <c r="B382" s="167" t="s">
        <v>93</v>
      </c>
      <c r="C382" s="129">
        <v>1520424016</v>
      </c>
      <c r="D382" s="166" t="s">
        <v>211</v>
      </c>
      <c r="E382" s="169" t="s">
        <v>212</v>
      </c>
      <c r="F382" s="39">
        <f>31000+19963.4-31614.4</f>
        <v>19349</v>
      </c>
      <c r="G382" s="170">
        <v>0</v>
      </c>
      <c r="H382" s="170">
        <v>0</v>
      </c>
    </row>
    <row r="383" spans="1:8" ht="25.5" x14ac:dyDescent="0.2">
      <c r="A383" s="166" t="s">
        <v>95</v>
      </c>
      <c r="B383" s="167" t="s">
        <v>93</v>
      </c>
      <c r="C383" s="79">
        <v>9900000000</v>
      </c>
      <c r="D383" s="16"/>
      <c r="E383" s="55" t="s">
        <v>144</v>
      </c>
      <c r="F383" s="94">
        <f t="shared" ref="F383:H385" si="89">F384</f>
        <v>153.69999999999999</v>
      </c>
      <c r="G383" s="94">
        <f t="shared" si="89"/>
        <v>0</v>
      </c>
      <c r="H383" s="94">
        <f t="shared" si="89"/>
        <v>0</v>
      </c>
    </row>
    <row r="384" spans="1:8" ht="14.25" x14ac:dyDescent="0.2">
      <c r="A384" s="166" t="s">
        <v>95</v>
      </c>
      <c r="B384" s="167" t="s">
        <v>93</v>
      </c>
      <c r="C384" s="79">
        <v>9920000000</v>
      </c>
      <c r="D384" s="35"/>
      <c r="E384" s="126" t="s">
        <v>5</v>
      </c>
      <c r="F384" s="94">
        <f t="shared" si="89"/>
        <v>153.69999999999999</v>
      </c>
      <c r="G384" s="94">
        <f t="shared" si="89"/>
        <v>0</v>
      </c>
      <c r="H384" s="94">
        <f t="shared" si="89"/>
        <v>0</v>
      </c>
    </row>
    <row r="385" spans="1:8" ht="25.5" x14ac:dyDescent="0.2">
      <c r="A385" s="166" t="s">
        <v>95</v>
      </c>
      <c r="B385" s="167" t="s">
        <v>93</v>
      </c>
      <c r="C385" s="79">
        <v>9920026100</v>
      </c>
      <c r="D385" s="21"/>
      <c r="E385" s="99" t="s">
        <v>11</v>
      </c>
      <c r="F385" s="39">
        <f t="shared" si="89"/>
        <v>153.69999999999999</v>
      </c>
      <c r="G385" s="39">
        <f t="shared" si="89"/>
        <v>0</v>
      </c>
      <c r="H385" s="39">
        <f t="shared" si="89"/>
        <v>0</v>
      </c>
    </row>
    <row r="386" spans="1:8" ht="38.25" x14ac:dyDescent="0.2">
      <c r="A386" s="166" t="s">
        <v>95</v>
      </c>
      <c r="B386" s="167" t="s">
        <v>93</v>
      </c>
      <c r="C386" s="79">
        <v>9920026100</v>
      </c>
      <c r="D386" s="166" t="s">
        <v>211</v>
      </c>
      <c r="E386" s="169" t="s">
        <v>212</v>
      </c>
      <c r="F386" s="39">
        <v>153.69999999999999</v>
      </c>
      <c r="G386" s="39">
        <v>0</v>
      </c>
      <c r="H386" s="39">
        <v>0</v>
      </c>
    </row>
    <row r="387" spans="1:8" ht="42.75" x14ac:dyDescent="0.2">
      <c r="A387" s="30" t="s">
        <v>95</v>
      </c>
      <c r="B387" s="30" t="s">
        <v>95</v>
      </c>
      <c r="C387" s="30"/>
      <c r="D387" s="30"/>
      <c r="E387" s="50" t="s">
        <v>478</v>
      </c>
      <c r="F387" s="93">
        <f>F388</f>
        <v>1380.9</v>
      </c>
      <c r="G387" s="93">
        <f t="shared" ref="G387:H387" si="90">G388</f>
        <v>1180.9000000000001</v>
      </c>
      <c r="H387" s="93">
        <f t="shared" si="90"/>
        <v>1180.9000000000001</v>
      </c>
    </row>
    <row r="388" spans="1:8" ht="63.75" x14ac:dyDescent="0.2">
      <c r="A388" s="5" t="s">
        <v>95</v>
      </c>
      <c r="B388" s="5" t="s">
        <v>95</v>
      </c>
      <c r="C388" s="76">
        <v>400000000</v>
      </c>
      <c r="D388" s="31"/>
      <c r="E388" s="64" t="s">
        <v>375</v>
      </c>
      <c r="F388" s="96">
        <f>F389</f>
        <v>1380.9</v>
      </c>
      <c r="G388" s="96">
        <f t="shared" ref="G388:H388" si="91">G389</f>
        <v>1180.9000000000001</v>
      </c>
      <c r="H388" s="96">
        <f t="shared" si="91"/>
        <v>1180.9000000000001</v>
      </c>
    </row>
    <row r="389" spans="1:8" ht="140.25" x14ac:dyDescent="0.2">
      <c r="A389" s="82" t="s">
        <v>95</v>
      </c>
      <c r="B389" s="82" t="s">
        <v>95</v>
      </c>
      <c r="C389" s="75">
        <v>430000000</v>
      </c>
      <c r="D389" s="16"/>
      <c r="E389" s="46" t="s">
        <v>477</v>
      </c>
      <c r="F389" s="39">
        <f>F390+F392</f>
        <v>1380.9</v>
      </c>
      <c r="G389" s="39">
        <f t="shared" ref="G389:H389" si="92">G390+G392</f>
        <v>1180.9000000000001</v>
      </c>
      <c r="H389" s="39">
        <f t="shared" si="92"/>
        <v>1180.9000000000001</v>
      </c>
    </row>
    <row r="390" spans="1:8" ht="103.5" customHeight="1" x14ac:dyDescent="0.2">
      <c r="A390" s="82" t="s">
        <v>95</v>
      </c>
      <c r="B390" s="82" t="s">
        <v>95</v>
      </c>
      <c r="C390" s="79">
        <v>430127310</v>
      </c>
      <c r="D390" s="16"/>
      <c r="E390" s="98" t="s">
        <v>591</v>
      </c>
      <c r="F390" s="41">
        <f>F391</f>
        <v>1200</v>
      </c>
      <c r="G390" s="41">
        <f>G391</f>
        <v>1000</v>
      </c>
      <c r="H390" s="41">
        <f>H391</f>
        <v>1000</v>
      </c>
    </row>
    <row r="391" spans="1:8" ht="63.75" x14ac:dyDescent="0.2">
      <c r="A391" s="82" t="s">
        <v>95</v>
      </c>
      <c r="B391" s="82" t="s">
        <v>95</v>
      </c>
      <c r="C391" s="79">
        <v>430127310</v>
      </c>
      <c r="D391" s="16" t="s">
        <v>12</v>
      </c>
      <c r="E391" s="98" t="s">
        <v>318</v>
      </c>
      <c r="F391" s="41">
        <v>1200</v>
      </c>
      <c r="G391" s="41">
        <v>1000</v>
      </c>
      <c r="H391" s="41">
        <v>1000</v>
      </c>
    </row>
    <row r="392" spans="1:8" ht="114.75" x14ac:dyDescent="0.2">
      <c r="A392" s="82" t="s">
        <v>95</v>
      </c>
      <c r="B392" s="82" t="s">
        <v>95</v>
      </c>
      <c r="C392" s="79">
        <v>430127320</v>
      </c>
      <c r="D392" s="16"/>
      <c r="E392" s="98" t="s">
        <v>479</v>
      </c>
      <c r="F392" s="41">
        <f>F393</f>
        <v>180.9</v>
      </c>
      <c r="G392" s="41">
        <f t="shared" ref="G392:H392" si="93">G393</f>
        <v>180.9</v>
      </c>
      <c r="H392" s="41">
        <f t="shared" si="93"/>
        <v>180.9</v>
      </c>
    </row>
    <row r="393" spans="1:8" ht="63.75" x14ac:dyDescent="0.2">
      <c r="A393" s="82" t="s">
        <v>95</v>
      </c>
      <c r="B393" s="82" t="s">
        <v>95</v>
      </c>
      <c r="C393" s="79">
        <v>430127320</v>
      </c>
      <c r="D393" s="16" t="s">
        <v>12</v>
      </c>
      <c r="E393" s="98" t="s">
        <v>318</v>
      </c>
      <c r="F393" s="41">
        <v>180.9</v>
      </c>
      <c r="G393" s="41">
        <v>180.9</v>
      </c>
      <c r="H393" s="41">
        <v>180.9</v>
      </c>
    </row>
    <row r="394" spans="1:8" ht="15.75" x14ac:dyDescent="0.25">
      <c r="A394" s="4" t="s">
        <v>104</v>
      </c>
      <c r="B394" s="3"/>
      <c r="C394" s="3"/>
      <c r="D394" s="3"/>
      <c r="E394" s="10" t="s">
        <v>105</v>
      </c>
      <c r="F394" s="92">
        <f>F395+F406+F450+F486+F491+F517</f>
        <v>720789.7</v>
      </c>
      <c r="G394" s="92">
        <f>G395+G406+G450+G486+G491+G517</f>
        <v>689102.8</v>
      </c>
      <c r="H394" s="92">
        <f>H395+H406+H450+H486+H491+H517</f>
        <v>694098.8</v>
      </c>
    </row>
    <row r="395" spans="1:8" s="37" customFormat="1" ht="14.25" x14ac:dyDescent="0.2">
      <c r="A395" s="35" t="s">
        <v>104</v>
      </c>
      <c r="B395" s="35" t="s">
        <v>88</v>
      </c>
      <c r="C395" s="35"/>
      <c r="D395" s="35"/>
      <c r="E395" s="45" t="s">
        <v>107</v>
      </c>
      <c r="F395" s="58">
        <f>F396</f>
        <v>176161.4</v>
      </c>
      <c r="G395" s="58">
        <f t="shared" ref="G395:H395" si="94">G396</f>
        <v>173777.3</v>
      </c>
      <c r="H395" s="58">
        <f t="shared" si="94"/>
        <v>173777.3</v>
      </c>
    </row>
    <row r="396" spans="1:8" ht="76.5" x14ac:dyDescent="0.2">
      <c r="A396" s="16" t="s">
        <v>104</v>
      </c>
      <c r="B396" s="16" t="s">
        <v>88</v>
      </c>
      <c r="C396" s="21" t="s">
        <v>73</v>
      </c>
      <c r="D396" s="35"/>
      <c r="E396" s="64" t="s">
        <v>571</v>
      </c>
      <c r="F396" s="62">
        <f t="shared" ref="F396:H396" si="95">F397</f>
        <v>176161.4</v>
      </c>
      <c r="G396" s="62">
        <f t="shared" si="95"/>
        <v>173777.3</v>
      </c>
      <c r="H396" s="62">
        <f t="shared" si="95"/>
        <v>173777.3</v>
      </c>
    </row>
    <row r="397" spans="1:8" ht="25.5" x14ac:dyDescent="0.2">
      <c r="A397" s="16" t="s">
        <v>104</v>
      </c>
      <c r="B397" s="16" t="s">
        <v>88</v>
      </c>
      <c r="C397" s="52" t="s">
        <v>74</v>
      </c>
      <c r="D397" s="35"/>
      <c r="E397" s="46" t="s">
        <v>388</v>
      </c>
      <c r="F397" s="94">
        <f>F398+F400+F402+F404</f>
        <v>176161.4</v>
      </c>
      <c r="G397" s="94">
        <f t="shared" ref="G397:H397" si="96">G398+G400+G402</f>
        <v>173777.3</v>
      </c>
      <c r="H397" s="94">
        <f t="shared" si="96"/>
        <v>173777.3</v>
      </c>
    </row>
    <row r="398" spans="1:8" ht="54.75" customHeight="1" x14ac:dyDescent="0.2">
      <c r="A398" s="56" t="s">
        <v>104</v>
      </c>
      <c r="B398" s="56" t="s">
        <v>88</v>
      </c>
      <c r="C398" s="21" t="s">
        <v>379</v>
      </c>
      <c r="D398" s="21"/>
      <c r="E398" s="98" t="s">
        <v>378</v>
      </c>
      <c r="F398" s="94">
        <f>F399</f>
        <v>101091.8</v>
      </c>
      <c r="G398" s="94">
        <f t="shared" ref="G398:H398" si="97">G399</f>
        <v>100956.2</v>
      </c>
      <c r="H398" s="94">
        <f t="shared" si="97"/>
        <v>100956.2</v>
      </c>
    </row>
    <row r="399" spans="1:8" x14ac:dyDescent="0.2">
      <c r="A399" s="56" t="s">
        <v>104</v>
      </c>
      <c r="B399" s="56" t="s">
        <v>88</v>
      </c>
      <c r="C399" s="21" t="s">
        <v>379</v>
      </c>
      <c r="D399" s="21" t="s">
        <v>225</v>
      </c>
      <c r="E399" s="98" t="s">
        <v>224</v>
      </c>
      <c r="F399" s="1">
        <f>94397.6+6694.2</f>
        <v>101091.8</v>
      </c>
      <c r="G399" s="1">
        <f>94400.5+6555.7</f>
        <v>100956.2</v>
      </c>
      <c r="H399" s="1">
        <f>94400.5+6555.7</f>
        <v>100956.2</v>
      </c>
    </row>
    <row r="400" spans="1:8" ht="76.5" x14ac:dyDescent="0.25">
      <c r="A400" s="56" t="s">
        <v>104</v>
      </c>
      <c r="B400" s="56" t="s">
        <v>88</v>
      </c>
      <c r="C400" s="131" t="s">
        <v>381</v>
      </c>
      <c r="D400" s="21"/>
      <c r="E400" s="98" t="s">
        <v>380</v>
      </c>
      <c r="F400" s="94">
        <f>F401</f>
        <v>74547.400000000009</v>
      </c>
      <c r="G400" s="94">
        <f t="shared" ref="G400:H400" si="98">G401</f>
        <v>72821.100000000006</v>
      </c>
      <c r="H400" s="94">
        <f t="shared" si="98"/>
        <v>72821.100000000006</v>
      </c>
    </row>
    <row r="401" spans="1:10" ht="15" x14ac:dyDescent="0.25">
      <c r="A401" s="56" t="s">
        <v>104</v>
      </c>
      <c r="B401" s="56" t="s">
        <v>88</v>
      </c>
      <c r="C401" s="131" t="s">
        <v>381</v>
      </c>
      <c r="D401" s="21" t="s">
        <v>225</v>
      </c>
      <c r="E401" s="98" t="s">
        <v>224</v>
      </c>
      <c r="F401" s="94">
        <f>72821.1+2851.3-1125</f>
        <v>74547.400000000009</v>
      </c>
      <c r="G401" s="94">
        <v>72821.100000000006</v>
      </c>
      <c r="H401" s="94">
        <v>72821.100000000006</v>
      </c>
    </row>
    <row r="402" spans="1:10" ht="49.5" customHeight="1" x14ac:dyDescent="0.2">
      <c r="A402" s="56" t="s">
        <v>104</v>
      </c>
      <c r="B402" s="56" t="s">
        <v>88</v>
      </c>
      <c r="C402" s="21" t="s">
        <v>384</v>
      </c>
      <c r="D402" s="57"/>
      <c r="E402" s="97" t="s">
        <v>383</v>
      </c>
      <c r="F402" s="94">
        <f>F403</f>
        <v>342.9</v>
      </c>
      <c r="G402" s="94">
        <f t="shared" ref="G402:H402" si="99">G403</f>
        <v>0</v>
      </c>
      <c r="H402" s="94">
        <f t="shared" si="99"/>
        <v>0</v>
      </c>
    </row>
    <row r="403" spans="1:10" x14ac:dyDescent="0.2">
      <c r="A403" s="56" t="s">
        <v>104</v>
      </c>
      <c r="B403" s="56" t="s">
        <v>88</v>
      </c>
      <c r="C403" s="21" t="s">
        <v>384</v>
      </c>
      <c r="D403" s="21" t="s">
        <v>225</v>
      </c>
      <c r="E403" s="98" t="s">
        <v>224</v>
      </c>
      <c r="F403" s="94">
        <f>120+22.9+200</f>
        <v>342.9</v>
      </c>
      <c r="G403" s="94">
        <v>0</v>
      </c>
      <c r="H403" s="94">
        <v>0</v>
      </c>
    </row>
    <row r="404" spans="1:10" ht="63.75" x14ac:dyDescent="0.2">
      <c r="A404" s="56" t="s">
        <v>104</v>
      </c>
      <c r="B404" s="56" t="s">
        <v>88</v>
      </c>
      <c r="C404" s="57" t="s">
        <v>705</v>
      </c>
      <c r="D404" s="21"/>
      <c r="E404" s="98" t="s">
        <v>706</v>
      </c>
      <c r="F404" s="94">
        <f t="shared" ref="F404:H404" si="100">F405</f>
        <v>179.3</v>
      </c>
      <c r="G404" s="94">
        <f t="shared" si="100"/>
        <v>0</v>
      </c>
      <c r="H404" s="94">
        <f t="shared" si="100"/>
        <v>0</v>
      </c>
    </row>
    <row r="405" spans="1:10" x14ac:dyDescent="0.2">
      <c r="A405" s="56" t="s">
        <v>104</v>
      </c>
      <c r="B405" s="56" t="s">
        <v>88</v>
      </c>
      <c r="C405" s="57" t="s">
        <v>705</v>
      </c>
      <c r="D405" s="21" t="s">
        <v>225</v>
      </c>
      <c r="E405" s="98" t="s">
        <v>224</v>
      </c>
      <c r="F405" s="94">
        <v>179.3</v>
      </c>
      <c r="G405" s="94">
        <f t="shared" ref="G405:H405" si="101">150-150</f>
        <v>0</v>
      </c>
      <c r="H405" s="94">
        <f t="shared" si="101"/>
        <v>0</v>
      </c>
    </row>
    <row r="406" spans="1:10" s="37" customFormat="1" ht="14.25" x14ac:dyDescent="0.2">
      <c r="A406" s="35" t="s">
        <v>104</v>
      </c>
      <c r="B406" s="35" t="s">
        <v>89</v>
      </c>
      <c r="C406" s="35"/>
      <c r="D406" s="35"/>
      <c r="E406" s="45" t="s">
        <v>108</v>
      </c>
      <c r="F406" s="42">
        <f>F407+F447</f>
        <v>444120.1</v>
      </c>
      <c r="G406" s="42">
        <f>G407+G447</f>
        <v>422236.39999999997</v>
      </c>
      <c r="H406" s="42">
        <f>H407+H447</f>
        <v>427232.4</v>
      </c>
    </row>
    <row r="407" spans="1:10" s="37" customFormat="1" ht="77.25" x14ac:dyDescent="0.25">
      <c r="A407" s="16" t="s">
        <v>104</v>
      </c>
      <c r="B407" s="16" t="s">
        <v>89</v>
      </c>
      <c r="C407" s="21" t="s">
        <v>73</v>
      </c>
      <c r="D407" s="35"/>
      <c r="E407" s="64" t="s">
        <v>571</v>
      </c>
      <c r="F407" s="65">
        <f t="shared" ref="F407:H407" si="102">F408</f>
        <v>443770.1</v>
      </c>
      <c r="G407" s="65">
        <f t="shared" si="102"/>
        <v>422236.39999999997</v>
      </c>
      <c r="H407" s="65">
        <f t="shared" si="102"/>
        <v>427232.4</v>
      </c>
    </row>
    <row r="408" spans="1:10" s="37" customFormat="1" ht="42" customHeight="1" x14ac:dyDescent="0.2">
      <c r="A408" s="47" t="s">
        <v>104</v>
      </c>
      <c r="B408" s="47" t="s">
        <v>89</v>
      </c>
      <c r="C408" s="52" t="s">
        <v>75</v>
      </c>
      <c r="D408" s="21"/>
      <c r="E408" s="46" t="s">
        <v>559</v>
      </c>
      <c r="F408" s="94">
        <f>F409+F411+F413+F415+F417+F419+F421+F423+F425+F427+F429+F431+F433+F435+F437+F439+F441+F443+F445</f>
        <v>443770.1</v>
      </c>
      <c r="G408" s="94">
        <f t="shared" ref="G408:H408" si="103">G409+G411+G413+G415+G417+G419+G421+G423+G425+G427+G429+G431+G433+G435+G437+G439+G441+G443+G445</f>
        <v>422236.39999999997</v>
      </c>
      <c r="H408" s="94">
        <f t="shared" si="103"/>
        <v>427232.4</v>
      </c>
    </row>
    <row r="409" spans="1:10" s="37" customFormat="1" ht="76.5" x14ac:dyDescent="0.2">
      <c r="A409" s="56" t="s">
        <v>104</v>
      </c>
      <c r="B409" s="90" t="s">
        <v>89</v>
      </c>
      <c r="C409" s="82" t="s">
        <v>392</v>
      </c>
      <c r="D409" s="82"/>
      <c r="E409" s="98" t="s">
        <v>391</v>
      </c>
      <c r="F409" s="94">
        <f>F410</f>
        <v>268148.40000000002</v>
      </c>
      <c r="G409" s="94">
        <f>G410</f>
        <v>267674.5</v>
      </c>
      <c r="H409" s="94">
        <f>H410</f>
        <v>267674.5</v>
      </c>
    </row>
    <row r="410" spans="1:10" s="37" customFormat="1" ht="14.25" x14ac:dyDescent="0.2">
      <c r="A410" s="56" t="s">
        <v>104</v>
      </c>
      <c r="B410" s="90" t="s">
        <v>89</v>
      </c>
      <c r="C410" s="57" t="s">
        <v>392</v>
      </c>
      <c r="D410" s="21" t="s">
        <v>225</v>
      </c>
      <c r="E410" s="98" t="s">
        <v>224</v>
      </c>
      <c r="F410" s="39">
        <f>250542.2-2+17608.2</f>
        <v>268148.40000000002</v>
      </c>
      <c r="G410" s="39">
        <f>250596.1+0.2+17078.2</f>
        <v>267674.5</v>
      </c>
      <c r="H410" s="39">
        <f>250596.1+0.2+17078.2</f>
        <v>267674.5</v>
      </c>
    </row>
    <row r="411" spans="1:10" s="37" customFormat="1" ht="63.75" x14ac:dyDescent="0.2">
      <c r="A411" s="16" t="s">
        <v>104</v>
      </c>
      <c r="B411" s="16" t="s">
        <v>89</v>
      </c>
      <c r="C411" s="57" t="s">
        <v>393</v>
      </c>
      <c r="D411" s="21"/>
      <c r="E411" s="98" t="s">
        <v>286</v>
      </c>
      <c r="F411" s="94">
        <f>F412</f>
        <v>97105.7</v>
      </c>
      <c r="G411" s="94">
        <f>G412</f>
        <v>90572.1</v>
      </c>
      <c r="H411" s="94">
        <f>H412</f>
        <v>90572.1</v>
      </c>
    </row>
    <row r="412" spans="1:10" s="37" customFormat="1" ht="14.25" x14ac:dyDescent="0.2">
      <c r="A412" s="56" t="s">
        <v>104</v>
      </c>
      <c r="B412" s="90" t="s">
        <v>89</v>
      </c>
      <c r="C412" s="57" t="s">
        <v>393</v>
      </c>
      <c r="D412" s="21" t="s">
        <v>225</v>
      </c>
      <c r="E412" s="98" t="s">
        <v>224</v>
      </c>
      <c r="F412" s="94">
        <f>90572.1+3801.7+1686.2+1045.7</f>
        <v>97105.7</v>
      </c>
      <c r="G412" s="94">
        <v>90572.1</v>
      </c>
      <c r="H412" s="94">
        <v>90572.1</v>
      </c>
      <c r="J412" s="149"/>
    </row>
    <row r="413" spans="1:10" s="37" customFormat="1" ht="63.75" x14ac:dyDescent="0.2">
      <c r="A413" s="56" t="s">
        <v>104</v>
      </c>
      <c r="B413" s="90" t="s">
        <v>89</v>
      </c>
      <c r="C413" s="57" t="s">
        <v>749</v>
      </c>
      <c r="D413" s="21"/>
      <c r="E413" s="98" t="s">
        <v>394</v>
      </c>
      <c r="F413" s="94">
        <f>F414</f>
        <v>15858.4</v>
      </c>
      <c r="G413" s="94">
        <f>G414</f>
        <v>15858.4</v>
      </c>
      <c r="H413" s="94">
        <f>H414</f>
        <v>15858.4</v>
      </c>
    </row>
    <row r="414" spans="1:10" s="37" customFormat="1" ht="14.25" x14ac:dyDescent="0.2">
      <c r="A414" s="16" t="s">
        <v>104</v>
      </c>
      <c r="B414" s="16" t="s">
        <v>89</v>
      </c>
      <c r="C414" s="57" t="s">
        <v>749</v>
      </c>
      <c r="D414" s="21" t="s">
        <v>225</v>
      </c>
      <c r="E414" s="98" t="s">
        <v>224</v>
      </c>
      <c r="F414" s="1">
        <v>15858.4</v>
      </c>
      <c r="G414" s="1">
        <v>15858.4</v>
      </c>
      <c r="H414" s="1">
        <v>15858.4</v>
      </c>
      <c r="J414" s="149"/>
    </row>
    <row r="415" spans="1:10" s="37" customFormat="1" ht="51" x14ac:dyDescent="0.2">
      <c r="A415" s="16" t="s">
        <v>104</v>
      </c>
      <c r="B415" s="16" t="s">
        <v>89</v>
      </c>
      <c r="C415" s="57" t="s">
        <v>397</v>
      </c>
      <c r="D415" s="21"/>
      <c r="E415" s="98" t="s">
        <v>398</v>
      </c>
      <c r="F415" s="94">
        <f>F416</f>
        <v>1154</v>
      </c>
      <c r="G415" s="94">
        <f>G416</f>
        <v>0</v>
      </c>
      <c r="H415" s="94">
        <f>H416</f>
        <v>0</v>
      </c>
    </row>
    <row r="416" spans="1:10" s="37" customFormat="1" ht="14.25" x14ac:dyDescent="0.2">
      <c r="A416" s="16" t="s">
        <v>104</v>
      </c>
      <c r="B416" s="16" t="s">
        <v>89</v>
      </c>
      <c r="C416" s="57" t="s">
        <v>397</v>
      </c>
      <c r="D416" s="21" t="s">
        <v>225</v>
      </c>
      <c r="E416" s="98" t="s">
        <v>224</v>
      </c>
      <c r="F416" s="94">
        <f>454+120.2+700-20.2-100</f>
        <v>1154</v>
      </c>
      <c r="G416" s="94">
        <v>0</v>
      </c>
      <c r="H416" s="94">
        <v>0</v>
      </c>
    </row>
    <row r="417" spans="1:10" s="37" customFormat="1" ht="63.75" x14ac:dyDescent="0.2">
      <c r="A417" s="16" t="s">
        <v>104</v>
      </c>
      <c r="B417" s="16" t="s">
        <v>89</v>
      </c>
      <c r="C417" s="57" t="s">
        <v>399</v>
      </c>
      <c r="D417" s="57"/>
      <c r="E417" s="124" t="s">
        <v>400</v>
      </c>
      <c r="F417" s="94">
        <f>F418</f>
        <v>2249.4</v>
      </c>
      <c r="G417" s="94">
        <f>G418</f>
        <v>0</v>
      </c>
      <c r="H417" s="94">
        <f>H418</f>
        <v>0</v>
      </c>
      <c r="J417" s="149"/>
    </row>
    <row r="418" spans="1:10" s="37" customFormat="1" ht="14.25" x14ac:dyDescent="0.2">
      <c r="A418" s="16" t="s">
        <v>104</v>
      </c>
      <c r="B418" s="16" t="s">
        <v>89</v>
      </c>
      <c r="C418" s="57" t="s">
        <v>399</v>
      </c>
      <c r="D418" s="21" t="s">
        <v>225</v>
      </c>
      <c r="E418" s="98" t="s">
        <v>224</v>
      </c>
      <c r="F418" s="94">
        <f>864.7+1036-120.2+369.4+99.5</f>
        <v>2249.4</v>
      </c>
      <c r="G418" s="94">
        <v>0</v>
      </c>
      <c r="H418" s="94">
        <v>0</v>
      </c>
    </row>
    <row r="419" spans="1:10" s="37" customFormat="1" ht="51" x14ac:dyDescent="0.2">
      <c r="A419" s="16" t="s">
        <v>104</v>
      </c>
      <c r="B419" s="16" t="s">
        <v>89</v>
      </c>
      <c r="C419" s="57" t="s">
        <v>609</v>
      </c>
      <c r="D419" s="21"/>
      <c r="E419" s="98" t="s">
        <v>610</v>
      </c>
      <c r="F419" s="94">
        <f>F420</f>
        <v>841.5</v>
      </c>
      <c r="G419" s="94">
        <f t="shared" ref="G419:H419" si="104">G420</f>
        <v>0</v>
      </c>
      <c r="H419" s="94">
        <f t="shared" si="104"/>
        <v>0</v>
      </c>
    </row>
    <row r="420" spans="1:10" s="37" customFormat="1" ht="14.25" x14ac:dyDescent="0.2">
      <c r="A420" s="16" t="s">
        <v>104</v>
      </c>
      <c r="B420" s="16" t="s">
        <v>89</v>
      </c>
      <c r="C420" s="57" t="s">
        <v>609</v>
      </c>
      <c r="D420" s="21" t="s">
        <v>225</v>
      </c>
      <c r="E420" s="98" t="s">
        <v>224</v>
      </c>
      <c r="F420" s="94">
        <f>500+341.5</f>
        <v>841.5</v>
      </c>
      <c r="G420" s="94">
        <v>0</v>
      </c>
      <c r="H420" s="94">
        <v>0</v>
      </c>
    </row>
    <row r="421" spans="1:10" s="37" customFormat="1" ht="63.75" x14ac:dyDescent="0.2">
      <c r="A421" s="16" t="s">
        <v>104</v>
      </c>
      <c r="B421" s="16" t="s">
        <v>89</v>
      </c>
      <c r="C421" s="57" t="s">
        <v>743</v>
      </c>
      <c r="D421" s="21"/>
      <c r="E421" s="98" t="s">
        <v>744</v>
      </c>
      <c r="F421" s="94">
        <f>F422</f>
        <v>1000</v>
      </c>
      <c r="G421" s="94">
        <f t="shared" ref="G421:H421" si="105">G422</f>
        <v>0</v>
      </c>
      <c r="H421" s="94">
        <f t="shared" si="105"/>
        <v>0</v>
      </c>
    </row>
    <row r="422" spans="1:10" s="37" customFormat="1" ht="14.25" x14ac:dyDescent="0.2">
      <c r="A422" s="16" t="s">
        <v>104</v>
      </c>
      <c r="B422" s="16" t="s">
        <v>89</v>
      </c>
      <c r="C422" s="57" t="s">
        <v>743</v>
      </c>
      <c r="D422" s="21" t="s">
        <v>225</v>
      </c>
      <c r="E422" s="98" t="s">
        <v>224</v>
      </c>
      <c r="F422" s="94">
        <v>1000</v>
      </c>
      <c r="G422" s="94">
        <v>0</v>
      </c>
      <c r="H422" s="94">
        <v>0</v>
      </c>
    </row>
    <row r="423" spans="1:10" s="37" customFormat="1" ht="38.25" x14ac:dyDescent="0.2">
      <c r="A423" s="16" t="s">
        <v>104</v>
      </c>
      <c r="B423" s="16" t="s">
        <v>89</v>
      </c>
      <c r="C423" s="57" t="s">
        <v>402</v>
      </c>
      <c r="D423" s="21"/>
      <c r="E423" s="98" t="s">
        <v>307</v>
      </c>
      <c r="F423" s="94">
        <f>F424</f>
        <v>5242.3</v>
      </c>
      <c r="G423" s="94">
        <f>G424</f>
        <v>5242.3</v>
      </c>
      <c r="H423" s="94">
        <f>H424</f>
        <v>5242.3</v>
      </c>
    </row>
    <row r="424" spans="1:10" s="37" customFormat="1" ht="14.25" x14ac:dyDescent="0.2">
      <c r="A424" s="16" t="s">
        <v>104</v>
      </c>
      <c r="B424" s="16" t="s">
        <v>89</v>
      </c>
      <c r="C424" s="57" t="s">
        <v>402</v>
      </c>
      <c r="D424" s="21" t="s">
        <v>225</v>
      </c>
      <c r="E424" s="98" t="s">
        <v>224</v>
      </c>
      <c r="F424" s="39">
        <v>5242.3</v>
      </c>
      <c r="G424" s="39">
        <v>5242.3</v>
      </c>
      <c r="H424" s="39">
        <v>5242.3</v>
      </c>
    </row>
    <row r="425" spans="1:10" s="37" customFormat="1" ht="76.5" x14ac:dyDescent="0.2">
      <c r="A425" s="16" t="s">
        <v>104</v>
      </c>
      <c r="B425" s="16" t="s">
        <v>89</v>
      </c>
      <c r="C425" s="21" t="s">
        <v>403</v>
      </c>
      <c r="D425" s="21"/>
      <c r="E425" s="98" t="s">
        <v>135</v>
      </c>
      <c r="F425" s="94">
        <f>F426</f>
        <v>21321.5</v>
      </c>
      <c r="G425" s="94">
        <f>G426</f>
        <v>21321.5</v>
      </c>
      <c r="H425" s="94">
        <f>H426</f>
        <v>21321.5</v>
      </c>
    </row>
    <row r="426" spans="1:10" s="37" customFormat="1" ht="14.25" x14ac:dyDescent="0.2">
      <c r="A426" s="82" t="s">
        <v>104</v>
      </c>
      <c r="B426" s="16" t="s">
        <v>89</v>
      </c>
      <c r="C426" s="21" t="s">
        <v>403</v>
      </c>
      <c r="D426" s="21" t="s">
        <v>225</v>
      </c>
      <c r="E426" s="98" t="s">
        <v>224</v>
      </c>
      <c r="F426" s="94">
        <v>21321.5</v>
      </c>
      <c r="G426" s="94">
        <v>21321.5</v>
      </c>
      <c r="H426" s="94">
        <v>21321.5</v>
      </c>
      <c r="J426" s="149"/>
    </row>
    <row r="427" spans="1:10" s="37" customFormat="1" ht="76.5" customHeight="1" x14ac:dyDescent="0.2">
      <c r="A427" s="16" t="s">
        <v>104</v>
      </c>
      <c r="B427" s="16" t="s">
        <v>89</v>
      </c>
      <c r="C427" s="21" t="s">
        <v>404</v>
      </c>
      <c r="D427" s="21"/>
      <c r="E427" s="98" t="s">
        <v>569</v>
      </c>
      <c r="F427" s="94">
        <f>F428</f>
        <v>240</v>
      </c>
      <c r="G427" s="94">
        <f>G428</f>
        <v>74.900000000000006</v>
      </c>
      <c r="H427" s="94">
        <f>H428</f>
        <v>0</v>
      </c>
    </row>
    <row r="428" spans="1:10" s="37" customFormat="1" ht="14.25" x14ac:dyDescent="0.2">
      <c r="A428" s="16" t="s">
        <v>104</v>
      </c>
      <c r="B428" s="16" t="s">
        <v>89</v>
      </c>
      <c r="C428" s="21" t="s">
        <v>404</v>
      </c>
      <c r="D428" s="21" t="s">
        <v>225</v>
      </c>
      <c r="E428" s="98" t="s">
        <v>224</v>
      </c>
      <c r="F428" s="41">
        <v>240</v>
      </c>
      <c r="G428" s="41">
        <v>74.900000000000006</v>
      </c>
      <c r="H428" s="41">
        <v>0</v>
      </c>
    </row>
    <row r="429" spans="1:10" s="37" customFormat="1" ht="63.75" x14ac:dyDescent="0.2">
      <c r="A429" s="16" t="s">
        <v>104</v>
      </c>
      <c r="B429" s="16" t="s">
        <v>89</v>
      </c>
      <c r="C429" s="21" t="s">
        <v>643</v>
      </c>
      <c r="D429" s="82"/>
      <c r="E429" s="55" t="s">
        <v>371</v>
      </c>
      <c r="F429" s="41">
        <f>F430</f>
        <v>19143.3</v>
      </c>
      <c r="G429" s="41">
        <f t="shared" ref="G429:H429" si="106">G430</f>
        <v>18674.599999999999</v>
      </c>
      <c r="H429" s="41">
        <f t="shared" si="106"/>
        <v>18296.400000000001</v>
      </c>
    </row>
    <row r="430" spans="1:10" s="37" customFormat="1" ht="14.25" x14ac:dyDescent="0.2">
      <c r="A430" s="16" t="s">
        <v>104</v>
      </c>
      <c r="B430" s="16" t="s">
        <v>89</v>
      </c>
      <c r="C430" s="21" t="s">
        <v>643</v>
      </c>
      <c r="D430" s="21" t="s">
        <v>225</v>
      </c>
      <c r="E430" s="98" t="s">
        <v>224</v>
      </c>
      <c r="F430" s="39">
        <v>19143.3</v>
      </c>
      <c r="G430" s="39">
        <v>18674.599999999999</v>
      </c>
      <c r="H430" s="39">
        <v>18296.400000000001</v>
      </c>
    </row>
    <row r="431" spans="1:10" s="37" customFormat="1" ht="63.75" x14ac:dyDescent="0.2">
      <c r="A431" s="16" t="s">
        <v>104</v>
      </c>
      <c r="B431" s="16" t="s">
        <v>89</v>
      </c>
      <c r="C431" s="21" t="s">
        <v>550</v>
      </c>
      <c r="D431" s="21"/>
      <c r="E431" s="98" t="s">
        <v>551</v>
      </c>
      <c r="F431" s="41">
        <f>F432</f>
        <v>5252.5</v>
      </c>
      <c r="G431" s="41">
        <f t="shared" ref="G431:H431" si="107">G432</f>
        <v>0</v>
      </c>
      <c r="H431" s="41">
        <f t="shared" si="107"/>
        <v>4912.8</v>
      </c>
    </row>
    <row r="432" spans="1:10" s="37" customFormat="1" ht="14.25" x14ac:dyDescent="0.2">
      <c r="A432" s="16" t="s">
        <v>104</v>
      </c>
      <c r="B432" s="16" t="s">
        <v>89</v>
      </c>
      <c r="C432" s="21" t="s">
        <v>550</v>
      </c>
      <c r="D432" s="21" t="s">
        <v>225</v>
      </c>
      <c r="E432" s="98" t="s">
        <v>224</v>
      </c>
      <c r="F432" s="41">
        <v>5252.5</v>
      </c>
      <c r="G432" s="41">
        <v>0</v>
      </c>
      <c r="H432" s="41">
        <v>4912.8</v>
      </c>
    </row>
    <row r="433" spans="1:11" s="37" customFormat="1" ht="48.75" customHeight="1" x14ac:dyDescent="0.2">
      <c r="A433" s="16" t="s">
        <v>104</v>
      </c>
      <c r="B433" s="16" t="s">
        <v>89</v>
      </c>
      <c r="C433" s="57" t="s">
        <v>677</v>
      </c>
      <c r="D433" s="21"/>
      <c r="E433" s="97" t="s">
        <v>678</v>
      </c>
      <c r="F433" s="41">
        <f>F434</f>
        <v>0</v>
      </c>
      <c r="G433" s="41">
        <f>G434</f>
        <v>250</v>
      </c>
      <c r="H433" s="41">
        <f>H434</f>
        <v>250</v>
      </c>
    </row>
    <row r="434" spans="1:11" s="37" customFormat="1" ht="14.25" x14ac:dyDescent="0.2">
      <c r="A434" s="16" t="s">
        <v>104</v>
      </c>
      <c r="B434" s="16" t="s">
        <v>89</v>
      </c>
      <c r="C434" s="57" t="s">
        <v>677</v>
      </c>
      <c r="D434" s="21" t="s">
        <v>225</v>
      </c>
      <c r="E434" s="98" t="s">
        <v>224</v>
      </c>
      <c r="F434" s="41">
        <v>0</v>
      </c>
      <c r="G434" s="41">
        <v>250</v>
      </c>
      <c r="H434" s="41">
        <v>250</v>
      </c>
    </row>
    <row r="435" spans="1:11" s="37" customFormat="1" ht="51" x14ac:dyDescent="0.2">
      <c r="A435" s="16" t="s">
        <v>104</v>
      </c>
      <c r="B435" s="16" t="s">
        <v>89</v>
      </c>
      <c r="C435" s="57" t="s">
        <v>714</v>
      </c>
      <c r="D435" s="21"/>
      <c r="E435" s="97" t="s">
        <v>716</v>
      </c>
      <c r="F435" s="41">
        <f>F436</f>
        <v>208.1</v>
      </c>
      <c r="G435" s="41">
        <f t="shared" ref="G435:H435" si="108">G436</f>
        <v>0</v>
      </c>
      <c r="H435" s="41">
        <f t="shared" si="108"/>
        <v>0</v>
      </c>
    </row>
    <row r="436" spans="1:11" s="37" customFormat="1" ht="14.25" x14ac:dyDescent="0.2">
      <c r="A436" s="16" t="s">
        <v>104</v>
      </c>
      <c r="B436" s="16" t="s">
        <v>89</v>
      </c>
      <c r="C436" s="57" t="s">
        <v>714</v>
      </c>
      <c r="D436" s="21" t="s">
        <v>225</v>
      </c>
      <c r="E436" s="98" t="s">
        <v>224</v>
      </c>
      <c r="F436" s="41">
        <f>125+90-6.9</f>
        <v>208.1</v>
      </c>
      <c r="G436" s="41">
        <v>0</v>
      </c>
      <c r="H436" s="41">
        <v>0</v>
      </c>
    </row>
    <row r="437" spans="1:11" s="37" customFormat="1" ht="38.25" x14ac:dyDescent="0.2">
      <c r="A437" s="16" t="s">
        <v>104</v>
      </c>
      <c r="B437" s="16" t="s">
        <v>89</v>
      </c>
      <c r="C437" s="57" t="s">
        <v>715</v>
      </c>
      <c r="D437" s="21"/>
      <c r="E437" s="97" t="s">
        <v>745</v>
      </c>
      <c r="F437" s="41">
        <f>F438</f>
        <v>215</v>
      </c>
      <c r="G437" s="41">
        <f t="shared" ref="G437:H437" si="109">G438</f>
        <v>0</v>
      </c>
      <c r="H437" s="41">
        <f t="shared" si="109"/>
        <v>0</v>
      </c>
    </row>
    <row r="438" spans="1:11" s="37" customFormat="1" ht="14.25" x14ac:dyDescent="0.2">
      <c r="A438" s="16" t="s">
        <v>104</v>
      </c>
      <c r="B438" s="16" t="s">
        <v>89</v>
      </c>
      <c r="C438" s="57" t="s">
        <v>715</v>
      </c>
      <c r="D438" s="21" t="s">
        <v>225</v>
      </c>
      <c r="E438" s="98" t="s">
        <v>224</v>
      </c>
      <c r="F438" s="41">
        <f>125+90</f>
        <v>215</v>
      </c>
      <c r="G438" s="41">
        <v>0</v>
      </c>
      <c r="H438" s="41">
        <v>0</v>
      </c>
    </row>
    <row r="439" spans="1:11" s="37" customFormat="1" ht="51" x14ac:dyDescent="0.2">
      <c r="A439" s="16" t="s">
        <v>104</v>
      </c>
      <c r="B439" s="16" t="s">
        <v>89</v>
      </c>
      <c r="C439" s="57" t="s">
        <v>741</v>
      </c>
      <c r="D439" s="21"/>
      <c r="E439" s="97" t="s">
        <v>716</v>
      </c>
      <c r="F439" s="41">
        <f>F440</f>
        <v>377.5</v>
      </c>
      <c r="G439" s="41">
        <f t="shared" ref="G439:H439" si="110">G440</f>
        <v>0</v>
      </c>
      <c r="H439" s="41">
        <f t="shared" si="110"/>
        <v>0</v>
      </c>
    </row>
    <row r="440" spans="1:11" s="37" customFormat="1" ht="14.25" x14ac:dyDescent="0.2">
      <c r="A440" s="16" t="s">
        <v>104</v>
      </c>
      <c r="B440" s="16" t="s">
        <v>89</v>
      </c>
      <c r="C440" s="57" t="s">
        <v>741</v>
      </c>
      <c r="D440" s="21" t="s">
        <v>225</v>
      </c>
      <c r="E440" s="98" t="s">
        <v>224</v>
      </c>
      <c r="F440" s="41">
        <v>377.5</v>
      </c>
      <c r="G440" s="41">
        <v>0</v>
      </c>
      <c r="H440" s="41">
        <v>0</v>
      </c>
    </row>
    <row r="441" spans="1:11" s="37" customFormat="1" ht="38.25" x14ac:dyDescent="0.2">
      <c r="A441" s="16" t="s">
        <v>104</v>
      </c>
      <c r="B441" s="16" t="s">
        <v>89</v>
      </c>
      <c r="C441" s="57" t="s">
        <v>742</v>
      </c>
      <c r="D441" s="21"/>
      <c r="E441" s="97" t="s">
        <v>745</v>
      </c>
      <c r="F441" s="41">
        <f>F442</f>
        <v>303.60000000000002</v>
      </c>
      <c r="G441" s="41">
        <f t="shared" ref="G441:H441" si="111">G442</f>
        <v>0</v>
      </c>
      <c r="H441" s="41">
        <f t="shared" si="111"/>
        <v>0</v>
      </c>
      <c r="K441" s="149"/>
    </row>
    <row r="442" spans="1:11" s="37" customFormat="1" ht="14.25" x14ac:dyDescent="0.2">
      <c r="A442" s="16" t="s">
        <v>104</v>
      </c>
      <c r="B442" s="16" t="s">
        <v>89</v>
      </c>
      <c r="C442" s="57" t="s">
        <v>742</v>
      </c>
      <c r="D442" s="21" t="s">
        <v>225</v>
      </c>
      <c r="E442" s="98" t="s">
        <v>224</v>
      </c>
      <c r="F442" s="41">
        <v>303.60000000000002</v>
      </c>
      <c r="G442" s="41">
        <v>0</v>
      </c>
      <c r="H442" s="41">
        <v>0</v>
      </c>
    </row>
    <row r="443" spans="1:11" s="37" customFormat="1" ht="63.75" x14ac:dyDescent="0.2">
      <c r="A443" s="56" t="s">
        <v>104</v>
      </c>
      <c r="B443" s="90" t="s">
        <v>89</v>
      </c>
      <c r="C443" s="57" t="s">
        <v>650</v>
      </c>
      <c r="D443" s="21"/>
      <c r="E443" s="98" t="s">
        <v>651</v>
      </c>
      <c r="F443" s="1">
        <f>F444</f>
        <v>2568.1</v>
      </c>
      <c r="G443" s="1">
        <f t="shared" ref="G443:H443" si="112">G444</f>
        <v>2568.1</v>
      </c>
      <c r="H443" s="1">
        <f t="shared" si="112"/>
        <v>3104.3999999999996</v>
      </c>
    </row>
    <row r="444" spans="1:11" s="37" customFormat="1" ht="14.25" x14ac:dyDescent="0.2">
      <c r="A444" s="16" t="s">
        <v>104</v>
      </c>
      <c r="B444" s="16" t="s">
        <v>89</v>
      </c>
      <c r="C444" s="57" t="s">
        <v>650</v>
      </c>
      <c r="D444" s="21" t="s">
        <v>225</v>
      </c>
      <c r="E444" s="98" t="s">
        <v>224</v>
      </c>
      <c r="F444" s="1">
        <f>2567.6+0.5</f>
        <v>2568.1</v>
      </c>
      <c r="G444" s="1">
        <f>2567.6+0.5</f>
        <v>2568.1</v>
      </c>
      <c r="H444" s="1">
        <f>2567.6+536.8</f>
        <v>3104.3999999999996</v>
      </c>
    </row>
    <row r="445" spans="1:11" s="37" customFormat="1" ht="89.25" x14ac:dyDescent="0.2">
      <c r="A445" s="16" t="s">
        <v>104</v>
      </c>
      <c r="B445" s="16" t="s">
        <v>89</v>
      </c>
      <c r="C445" s="57" t="s">
        <v>695</v>
      </c>
      <c r="D445" s="21"/>
      <c r="E445" s="98" t="s">
        <v>707</v>
      </c>
      <c r="F445" s="1">
        <f>F446</f>
        <v>2540.8000000000002</v>
      </c>
      <c r="G445" s="1">
        <f t="shared" ref="G445:H445" si="113">G446</f>
        <v>0</v>
      </c>
      <c r="H445" s="1">
        <f t="shared" si="113"/>
        <v>0</v>
      </c>
    </row>
    <row r="446" spans="1:11" s="37" customFormat="1" ht="14.25" x14ac:dyDescent="0.2">
      <c r="A446" s="56" t="s">
        <v>104</v>
      </c>
      <c r="B446" s="90" t="s">
        <v>89</v>
      </c>
      <c r="C446" s="57" t="s">
        <v>695</v>
      </c>
      <c r="D446" s="21" t="s">
        <v>225</v>
      </c>
      <c r="E446" s="98" t="s">
        <v>224</v>
      </c>
      <c r="F446" s="1">
        <f>25.8+2515</f>
        <v>2540.8000000000002</v>
      </c>
      <c r="G446" s="1">
        <v>0</v>
      </c>
      <c r="H446" s="1">
        <v>0</v>
      </c>
    </row>
    <row r="447" spans="1:11" s="37" customFormat="1" ht="38.25" x14ac:dyDescent="0.2">
      <c r="A447" s="16" t="s">
        <v>104</v>
      </c>
      <c r="B447" s="16" t="s">
        <v>89</v>
      </c>
      <c r="C447" s="82" t="s">
        <v>24</v>
      </c>
      <c r="D447" s="82"/>
      <c r="E447" s="99" t="s">
        <v>38</v>
      </c>
      <c r="F447" s="41">
        <f>F448</f>
        <v>350</v>
      </c>
      <c r="G447" s="41">
        <f t="shared" ref="G447:H447" si="114">G448</f>
        <v>0</v>
      </c>
      <c r="H447" s="41">
        <f t="shared" si="114"/>
        <v>0</v>
      </c>
    </row>
    <row r="448" spans="1:11" s="37" customFormat="1" ht="51" x14ac:dyDescent="0.2">
      <c r="A448" s="16" t="s">
        <v>104</v>
      </c>
      <c r="B448" s="16" t="s">
        <v>89</v>
      </c>
      <c r="C448" s="82" t="s">
        <v>568</v>
      </c>
      <c r="D448" s="16"/>
      <c r="E448" s="54" t="s">
        <v>566</v>
      </c>
      <c r="F448" s="41">
        <f>SUM(F449:F449)</f>
        <v>350</v>
      </c>
      <c r="G448" s="41">
        <f>SUM(G449:G449)</f>
        <v>0</v>
      </c>
      <c r="H448" s="41">
        <f>SUM(H449:H449)</f>
        <v>0</v>
      </c>
    </row>
    <row r="449" spans="1:13" s="37" customFormat="1" ht="14.25" x14ac:dyDescent="0.2">
      <c r="A449" s="16" t="s">
        <v>104</v>
      </c>
      <c r="B449" s="16" t="s">
        <v>89</v>
      </c>
      <c r="C449" s="82" t="s">
        <v>568</v>
      </c>
      <c r="D449" s="21" t="s">
        <v>225</v>
      </c>
      <c r="E449" s="98" t="s">
        <v>224</v>
      </c>
      <c r="F449" s="39">
        <v>350</v>
      </c>
      <c r="G449" s="39">
        <v>0</v>
      </c>
      <c r="H449" s="39">
        <v>0</v>
      </c>
    </row>
    <row r="450" spans="1:13" s="37" customFormat="1" ht="14.25" x14ac:dyDescent="0.2">
      <c r="A450" s="35" t="s">
        <v>104</v>
      </c>
      <c r="B450" s="35" t="s">
        <v>93</v>
      </c>
      <c r="C450" s="35"/>
      <c r="D450" s="35"/>
      <c r="E450" s="46" t="s">
        <v>156</v>
      </c>
      <c r="F450" s="42">
        <f>F451+F473+F483</f>
        <v>71738.599999999991</v>
      </c>
      <c r="G450" s="42">
        <f>G451+G473+G483</f>
        <v>69367.899999999994</v>
      </c>
      <c r="H450" s="42">
        <f>H451+H473+H483</f>
        <v>69367.899999999994</v>
      </c>
    </row>
    <row r="451" spans="1:13" s="37" customFormat="1" ht="76.5" x14ac:dyDescent="0.2">
      <c r="A451" s="5" t="s">
        <v>104</v>
      </c>
      <c r="B451" s="5" t="s">
        <v>93</v>
      </c>
      <c r="C451" s="73" t="s">
        <v>73</v>
      </c>
      <c r="D451" s="21"/>
      <c r="E451" s="64" t="s">
        <v>571</v>
      </c>
      <c r="F451" s="62">
        <f>F452+F470</f>
        <v>52346.69999999999</v>
      </c>
      <c r="G451" s="62">
        <f>G452+G470</f>
        <v>51396.299999999996</v>
      </c>
      <c r="H451" s="62">
        <f>H452+H470</f>
        <v>51396.299999999996</v>
      </c>
    </row>
    <row r="452" spans="1:13" s="37" customFormat="1" ht="38.25" x14ac:dyDescent="0.2">
      <c r="A452" s="16" t="s">
        <v>104</v>
      </c>
      <c r="B452" s="82" t="s">
        <v>93</v>
      </c>
      <c r="C452" s="52" t="s">
        <v>410</v>
      </c>
      <c r="D452" s="35"/>
      <c r="E452" s="46" t="s">
        <v>411</v>
      </c>
      <c r="F452" s="94">
        <f>F453+F455+F460+F462++F464+F466+F468</f>
        <v>52296.69999999999</v>
      </c>
      <c r="G452" s="94">
        <f>G453+G460+G462++G464+G466+G468</f>
        <v>51346.299999999996</v>
      </c>
      <c r="H452" s="94">
        <f>H453+H460+H462++H464+H466+H468</f>
        <v>51346.299999999996</v>
      </c>
    </row>
    <row r="453" spans="1:13" s="37" customFormat="1" ht="76.5" x14ac:dyDescent="0.2">
      <c r="A453" s="16" t="s">
        <v>104</v>
      </c>
      <c r="B453" s="82" t="s">
        <v>93</v>
      </c>
      <c r="C453" s="57" t="s">
        <v>414</v>
      </c>
      <c r="D453" s="16"/>
      <c r="E453" s="98" t="s">
        <v>413</v>
      </c>
      <c r="F453" s="94">
        <f>F454</f>
        <v>26143</v>
      </c>
      <c r="G453" s="94">
        <f>SUM(G454:G454)</f>
        <v>36709.5</v>
      </c>
      <c r="H453" s="94">
        <f>SUM(H454:H454)</f>
        <v>36709.5</v>
      </c>
      <c r="J453" s="149"/>
      <c r="K453" s="149"/>
    </row>
    <row r="454" spans="1:13" s="37" customFormat="1" ht="14.25" x14ac:dyDescent="0.2">
      <c r="A454" s="16" t="s">
        <v>104</v>
      </c>
      <c r="B454" s="82" t="s">
        <v>93</v>
      </c>
      <c r="C454" s="57" t="s">
        <v>414</v>
      </c>
      <c r="D454" s="21" t="s">
        <v>225</v>
      </c>
      <c r="E454" s="98" t="s">
        <v>224</v>
      </c>
      <c r="F454" s="94">
        <f>36709.5-11516.9+950.4</f>
        <v>26143</v>
      </c>
      <c r="G454" s="94">
        <v>36709.5</v>
      </c>
      <c r="H454" s="94">
        <v>36709.5</v>
      </c>
    </row>
    <row r="455" spans="1:13" s="37" customFormat="1" ht="51" x14ac:dyDescent="0.2">
      <c r="A455" s="16" t="s">
        <v>104</v>
      </c>
      <c r="B455" s="82" t="s">
        <v>93</v>
      </c>
      <c r="C455" s="57" t="s">
        <v>697</v>
      </c>
      <c r="D455" s="21"/>
      <c r="E455" s="98" t="s">
        <v>698</v>
      </c>
      <c r="F455" s="94">
        <f>SUM(F456:F459)</f>
        <v>11516.899999999998</v>
      </c>
      <c r="G455" s="94">
        <f t="shared" ref="G455:H455" si="115">SUM(G456:G459)</f>
        <v>0</v>
      </c>
      <c r="H455" s="94">
        <f t="shared" si="115"/>
        <v>0</v>
      </c>
    </row>
    <row r="456" spans="1:13" s="37" customFormat="1" ht="14.25" x14ac:dyDescent="0.2">
      <c r="A456" s="16" t="s">
        <v>104</v>
      </c>
      <c r="B456" s="82" t="s">
        <v>93</v>
      </c>
      <c r="C456" s="57" t="s">
        <v>697</v>
      </c>
      <c r="D456" s="21" t="s">
        <v>225</v>
      </c>
      <c r="E456" s="98" t="s">
        <v>224</v>
      </c>
      <c r="F456" s="94">
        <f>10799.6+179.3</f>
        <v>10978.9</v>
      </c>
      <c r="G456" s="94">
        <v>0</v>
      </c>
      <c r="H456" s="94">
        <v>0</v>
      </c>
    </row>
    <row r="457" spans="1:13" s="37" customFormat="1" ht="14.25" x14ac:dyDescent="0.2">
      <c r="A457" s="16" t="s">
        <v>104</v>
      </c>
      <c r="B457" s="82" t="s">
        <v>93</v>
      </c>
      <c r="C457" s="57" t="s">
        <v>697</v>
      </c>
      <c r="D457" s="21" t="s">
        <v>699</v>
      </c>
      <c r="E457" s="98" t="s">
        <v>700</v>
      </c>
      <c r="F457" s="94">
        <v>179.3</v>
      </c>
      <c r="G457" s="94">
        <v>0</v>
      </c>
      <c r="H457" s="94">
        <v>0</v>
      </c>
    </row>
    <row r="458" spans="1:13" s="37" customFormat="1" ht="76.5" x14ac:dyDescent="0.2">
      <c r="A458" s="16" t="s">
        <v>104</v>
      </c>
      <c r="B458" s="82" t="s">
        <v>93</v>
      </c>
      <c r="C458" s="57" t="s">
        <v>697</v>
      </c>
      <c r="D458" s="21" t="s">
        <v>19</v>
      </c>
      <c r="E458" s="98" t="s">
        <v>360</v>
      </c>
      <c r="F458" s="94">
        <v>179.3</v>
      </c>
      <c r="G458" s="94">
        <v>0</v>
      </c>
      <c r="H458" s="94">
        <v>0</v>
      </c>
    </row>
    <row r="459" spans="1:13" s="37" customFormat="1" ht="63.75" x14ac:dyDescent="0.2">
      <c r="A459" s="16" t="s">
        <v>104</v>
      </c>
      <c r="B459" s="82" t="s">
        <v>93</v>
      </c>
      <c r="C459" s="57" t="s">
        <v>697</v>
      </c>
      <c r="D459" s="21" t="s">
        <v>12</v>
      </c>
      <c r="E459" s="98" t="s">
        <v>365</v>
      </c>
      <c r="F459" s="94">
        <v>179.4</v>
      </c>
      <c r="G459" s="94">
        <v>0</v>
      </c>
      <c r="H459" s="94">
        <v>0</v>
      </c>
    </row>
    <row r="460" spans="1:13" s="37" customFormat="1" ht="76.5" x14ac:dyDescent="0.2">
      <c r="A460" s="16" t="s">
        <v>104</v>
      </c>
      <c r="B460" s="82" t="s">
        <v>93</v>
      </c>
      <c r="C460" s="57" t="s">
        <v>416</v>
      </c>
      <c r="D460" s="21"/>
      <c r="E460" s="98" t="s">
        <v>417</v>
      </c>
      <c r="F460" s="94">
        <f>F461</f>
        <v>13313.699999999999</v>
      </c>
      <c r="G460" s="94">
        <f>G461</f>
        <v>13313.699999999999</v>
      </c>
      <c r="H460" s="94">
        <f>H461</f>
        <v>13313.699999999999</v>
      </c>
      <c r="K460" s="149"/>
      <c r="L460" s="149"/>
      <c r="M460" s="149"/>
    </row>
    <row r="461" spans="1:13" s="37" customFormat="1" ht="14.25" x14ac:dyDescent="0.2">
      <c r="A461" s="16" t="s">
        <v>104</v>
      </c>
      <c r="B461" s="82" t="s">
        <v>93</v>
      </c>
      <c r="C461" s="57" t="s">
        <v>416</v>
      </c>
      <c r="D461" s="21" t="s">
        <v>225</v>
      </c>
      <c r="E461" s="98" t="s">
        <v>224</v>
      </c>
      <c r="F461" s="132">
        <f>12678.4+635.3</f>
        <v>13313.699999999999</v>
      </c>
      <c r="G461" s="132">
        <f>12678.4+635.3</f>
        <v>13313.699999999999</v>
      </c>
      <c r="H461" s="132">
        <f>12678.4+635.3</f>
        <v>13313.699999999999</v>
      </c>
    </row>
    <row r="462" spans="1:13" s="37" customFormat="1" ht="76.5" x14ac:dyDescent="0.2">
      <c r="A462" s="16" t="s">
        <v>104</v>
      </c>
      <c r="B462" s="82" t="s">
        <v>93</v>
      </c>
      <c r="C462" s="57" t="s">
        <v>418</v>
      </c>
      <c r="D462" s="57"/>
      <c r="E462" s="98" t="s">
        <v>419</v>
      </c>
      <c r="F462" s="39">
        <f>F463</f>
        <v>128.1</v>
      </c>
      <c r="G462" s="39">
        <f>G463</f>
        <v>128.1</v>
      </c>
      <c r="H462" s="39">
        <f>H463</f>
        <v>128.1</v>
      </c>
      <c r="J462" s="149"/>
    </row>
    <row r="463" spans="1:13" s="37" customFormat="1" ht="14.25" x14ac:dyDescent="0.2">
      <c r="A463" s="16" t="s">
        <v>104</v>
      </c>
      <c r="B463" s="82" t="s">
        <v>93</v>
      </c>
      <c r="C463" s="21" t="s">
        <v>418</v>
      </c>
      <c r="D463" s="21" t="s">
        <v>225</v>
      </c>
      <c r="E463" s="98" t="s">
        <v>224</v>
      </c>
      <c r="F463" s="41">
        <v>128.1</v>
      </c>
      <c r="G463" s="41">
        <v>128.1</v>
      </c>
      <c r="H463" s="41">
        <v>128.1</v>
      </c>
    </row>
    <row r="464" spans="1:13" s="37" customFormat="1" ht="51" x14ac:dyDescent="0.2">
      <c r="A464" s="16" t="s">
        <v>104</v>
      </c>
      <c r="B464" s="82" t="s">
        <v>93</v>
      </c>
      <c r="C464" s="57" t="s">
        <v>558</v>
      </c>
      <c r="D464" s="21"/>
      <c r="E464" s="108" t="s">
        <v>422</v>
      </c>
      <c r="F464" s="94">
        <f>F465</f>
        <v>795</v>
      </c>
      <c r="G464" s="94">
        <f t="shared" ref="G464:H464" si="116">G465</f>
        <v>795</v>
      </c>
      <c r="H464" s="94">
        <f t="shared" si="116"/>
        <v>795</v>
      </c>
      <c r="J464" s="149"/>
    </row>
    <row r="465" spans="1:12" s="37" customFormat="1" ht="14.25" x14ac:dyDescent="0.2">
      <c r="A465" s="16" t="s">
        <v>104</v>
      </c>
      <c r="B465" s="82" t="s">
        <v>93</v>
      </c>
      <c r="C465" s="57" t="s">
        <v>558</v>
      </c>
      <c r="D465" s="21" t="s">
        <v>225</v>
      </c>
      <c r="E465" s="98" t="s">
        <v>224</v>
      </c>
      <c r="F465" s="94">
        <v>795</v>
      </c>
      <c r="G465" s="94">
        <v>795</v>
      </c>
      <c r="H465" s="94">
        <v>795</v>
      </c>
    </row>
    <row r="466" spans="1:12" s="37" customFormat="1" ht="38.25" x14ac:dyDescent="0.2">
      <c r="A466" s="16" t="s">
        <v>104</v>
      </c>
      <c r="B466" s="82" t="s">
        <v>93</v>
      </c>
      <c r="C466" s="57" t="s">
        <v>423</v>
      </c>
      <c r="D466" s="21"/>
      <c r="E466" s="98" t="s">
        <v>183</v>
      </c>
      <c r="F466" s="41">
        <f>F467</f>
        <v>250</v>
      </c>
      <c r="G466" s="41">
        <f t="shared" ref="G466:H466" si="117">G467</f>
        <v>250</v>
      </c>
      <c r="H466" s="41">
        <f t="shared" si="117"/>
        <v>250</v>
      </c>
    </row>
    <row r="467" spans="1:12" s="37" customFormat="1" ht="14.25" x14ac:dyDescent="0.2">
      <c r="A467" s="16" t="s">
        <v>104</v>
      </c>
      <c r="B467" s="82" t="s">
        <v>93</v>
      </c>
      <c r="C467" s="57" t="s">
        <v>423</v>
      </c>
      <c r="D467" s="21" t="s">
        <v>225</v>
      </c>
      <c r="E467" s="98" t="s">
        <v>224</v>
      </c>
      <c r="F467" s="41">
        <v>250</v>
      </c>
      <c r="G467" s="41">
        <v>250</v>
      </c>
      <c r="H467" s="41">
        <v>250</v>
      </c>
    </row>
    <row r="468" spans="1:12" s="37" customFormat="1" ht="38.25" x14ac:dyDescent="0.2">
      <c r="A468" s="16" t="s">
        <v>104</v>
      </c>
      <c r="B468" s="82" t="s">
        <v>93</v>
      </c>
      <c r="C468" s="57" t="s">
        <v>424</v>
      </c>
      <c r="D468" s="21"/>
      <c r="E468" s="98" t="s">
        <v>425</v>
      </c>
      <c r="F468" s="41">
        <f>F469</f>
        <v>150</v>
      </c>
      <c r="G468" s="41">
        <f t="shared" ref="G468:H468" si="118">G469</f>
        <v>150</v>
      </c>
      <c r="H468" s="41">
        <f t="shared" si="118"/>
        <v>150</v>
      </c>
    </row>
    <row r="469" spans="1:12" s="37" customFormat="1" ht="14.25" x14ac:dyDescent="0.2">
      <c r="A469" s="16" t="s">
        <v>104</v>
      </c>
      <c r="B469" s="82" t="s">
        <v>93</v>
      </c>
      <c r="C469" s="57" t="s">
        <v>424</v>
      </c>
      <c r="D469" s="21" t="s">
        <v>225</v>
      </c>
      <c r="E469" s="98" t="s">
        <v>224</v>
      </c>
      <c r="F469" s="41">
        <v>150</v>
      </c>
      <c r="G469" s="41">
        <v>150</v>
      </c>
      <c r="H469" s="41">
        <v>150</v>
      </c>
    </row>
    <row r="470" spans="1:12" s="37" customFormat="1" ht="27" customHeight="1" x14ac:dyDescent="0.2">
      <c r="A470" s="47" t="s">
        <v>104</v>
      </c>
      <c r="B470" s="47" t="s">
        <v>93</v>
      </c>
      <c r="C470" s="52" t="s">
        <v>427</v>
      </c>
      <c r="D470" s="82"/>
      <c r="E470" s="46" t="s">
        <v>426</v>
      </c>
      <c r="F470" s="93">
        <f>F471</f>
        <v>50</v>
      </c>
      <c r="G470" s="93">
        <f t="shared" ref="G470:H470" si="119">G471</f>
        <v>50</v>
      </c>
      <c r="H470" s="93">
        <f t="shared" si="119"/>
        <v>50</v>
      </c>
    </row>
    <row r="471" spans="1:12" s="37" customFormat="1" ht="76.5" x14ac:dyDescent="0.2">
      <c r="A471" s="16" t="s">
        <v>104</v>
      </c>
      <c r="B471" s="82" t="s">
        <v>93</v>
      </c>
      <c r="C471" s="57" t="s">
        <v>552</v>
      </c>
      <c r="D471" s="16"/>
      <c r="E471" s="98" t="s">
        <v>430</v>
      </c>
      <c r="F471" s="41">
        <f>F472</f>
        <v>50</v>
      </c>
      <c r="G471" s="41">
        <f>G472</f>
        <v>50</v>
      </c>
      <c r="H471" s="41">
        <f>H472</f>
        <v>50</v>
      </c>
    </row>
    <row r="472" spans="1:12" s="37" customFormat="1" ht="14.25" x14ac:dyDescent="0.2">
      <c r="A472" s="16" t="s">
        <v>104</v>
      </c>
      <c r="B472" s="82" t="s">
        <v>93</v>
      </c>
      <c r="C472" s="57" t="s">
        <v>552</v>
      </c>
      <c r="D472" s="21" t="s">
        <v>225</v>
      </c>
      <c r="E472" s="98" t="s">
        <v>224</v>
      </c>
      <c r="F472" s="41">
        <v>50</v>
      </c>
      <c r="G472" s="41">
        <v>50</v>
      </c>
      <c r="H472" s="41">
        <v>50</v>
      </c>
    </row>
    <row r="473" spans="1:12" s="37" customFormat="1" ht="90" x14ac:dyDescent="0.25">
      <c r="A473" s="16" t="s">
        <v>104</v>
      </c>
      <c r="B473" s="82" t="s">
        <v>93</v>
      </c>
      <c r="C473" s="73" t="s">
        <v>59</v>
      </c>
      <c r="D473" s="35"/>
      <c r="E473" s="53" t="s">
        <v>572</v>
      </c>
      <c r="F473" s="65">
        <f t="shared" ref="F473:H473" si="120">F474</f>
        <v>19091.900000000001</v>
      </c>
      <c r="G473" s="65">
        <f t="shared" si="120"/>
        <v>17971.600000000002</v>
      </c>
      <c r="H473" s="65">
        <f t="shared" si="120"/>
        <v>17971.600000000002</v>
      </c>
    </row>
    <row r="474" spans="1:12" s="37" customFormat="1" ht="25.5" x14ac:dyDescent="0.2">
      <c r="A474" s="16" t="s">
        <v>104</v>
      </c>
      <c r="B474" s="82" t="s">
        <v>93</v>
      </c>
      <c r="C474" s="52" t="s">
        <v>60</v>
      </c>
      <c r="D474" s="35"/>
      <c r="E474" s="48" t="s">
        <v>171</v>
      </c>
      <c r="F474" s="58">
        <f>F475+F477+F479+F481</f>
        <v>19091.900000000001</v>
      </c>
      <c r="G474" s="58">
        <f t="shared" ref="G474:H474" si="121">G475+G477+G479</f>
        <v>17971.600000000002</v>
      </c>
      <c r="H474" s="58">
        <f t="shared" si="121"/>
        <v>17971.600000000002</v>
      </c>
    </row>
    <row r="475" spans="1:12" s="37" customFormat="1" ht="27.75" customHeight="1" x14ac:dyDescent="0.2">
      <c r="A475" s="16" t="s">
        <v>104</v>
      </c>
      <c r="B475" s="82" t="s">
        <v>93</v>
      </c>
      <c r="C475" s="74">
        <v>210221100</v>
      </c>
      <c r="D475" s="16"/>
      <c r="E475" s="99" t="s">
        <v>173</v>
      </c>
      <c r="F475" s="39">
        <f>F476</f>
        <v>12164</v>
      </c>
      <c r="G475" s="39">
        <f>G476</f>
        <v>11464</v>
      </c>
      <c r="H475" s="39">
        <f>H476</f>
        <v>11464</v>
      </c>
    </row>
    <row r="476" spans="1:12" s="37" customFormat="1" ht="14.25" x14ac:dyDescent="0.2">
      <c r="A476" s="16" t="s">
        <v>104</v>
      </c>
      <c r="B476" s="82" t="s">
        <v>93</v>
      </c>
      <c r="C476" s="74">
        <v>210221100</v>
      </c>
      <c r="D476" s="21" t="s">
        <v>225</v>
      </c>
      <c r="E476" s="98" t="s">
        <v>224</v>
      </c>
      <c r="F476" s="39">
        <f>11484.2+700-20.2</f>
        <v>12164</v>
      </c>
      <c r="G476" s="39">
        <f>11484.2-20.2</f>
        <v>11464</v>
      </c>
      <c r="H476" s="39">
        <f>11484.2-20.2</f>
        <v>11464</v>
      </c>
    </row>
    <row r="477" spans="1:12" s="37" customFormat="1" ht="76.5" x14ac:dyDescent="0.2">
      <c r="A477" s="16" t="s">
        <v>104</v>
      </c>
      <c r="B477" s="82" t="s">
        <v>93</v>
      </c>
      <c r="C477" s="74">
        <v>210210690</v>
      </c>
      <c r="D477" s="21"/>
      <c r="E477" s="98" t="s">
        <v>314</v>
      </c>
      <c r="F477" s="39">
        <f>F478</f>
        <v>6436.2</v>
      </c>
      <c r="G477" s="39">
        <f>G478</f>
        <v>6436.2</v>
      </c>
      <c r="H477" s="39">
        <f>H478</f>
        <v>6436.2</v>
      </c>
      <c r="J477" s="149"/>
      <c r="K477" s="149"/>
      <c r="L477" s="149"/>
    </row>
    <row r="478" spans="1:12" s="37" customFormat="1" ht="14.25" x14ac:dyDescent="0.2">
      <c r="A478" s="16" t="s">
        <v>104</v>
      </c>
      <c r="B478" s="82" t="s">
        <v>93</v>
      </c>
      <c r="C478" s="74">
        <v>210210690</v>
      </c>
      <c r="D478" s="21" t="s">
        <v>225</v>
      </c>
      <c r="E478" s="98" t="s">
        <v>224</v>
      </c>
      <c r="F478" s="132">
        <f>5071.4+1364.8</f>
        <v>6436.2</v>
      </c>
      <c r="G478" s="132">
        <f t="shared" ref="G478:H478" si="122">5071.4+1364.8</f>
        <v>6436.2</v>
      </c>
      <c r="H478" s="132">
        <f t="shared" si="122"/>
        <v>6436.2</v>
      </c>
    </row>
    <row r="479" spans="1:12" s="37" customFormat="1" ht="63.75" x14ac:dyDescent="0.2">
      <c r="A479" s="16" t="s">
        <v>104</v>
      </c>
      <c r="B479" s="82" t="s">
        <v>93</v>
      </c>
      <c r="C479" s="74" t="s">
        <v>440</v>
      </c>
      <c r="D479" s="82"/>
      <c r="E479" s="98" t="s">
        <v>315</v>
      </c>
      <c r="F479" s="39">
        <f>SUM(F480:F480)</f>
        <v>71.400000000000006</v>
      </c>
      <c r="G479" s="39">
        <f>SUM(G480:G480)</f>
        <v>71.400000000000006</v>
      </c>
      <c r="H479" s="39">
        <f>SUM(H480:H480)</f>
        <v>71.400000000000006</v>
      </c>
    </row>
    <row r="480" spans="1:12" s="37" customFormat="1" ht="14.25" x14ac:dyDescent="0.2">
      <c r="A480" s="82" t="s">
        <v>104</v>
      </c>
      <c r="B480" s="82" t="s">
        <v>93</v>
      </c>
      <c r="C480" s="74" t="s">
        <v>440</v>
      </c>
      <c r="D480" s="21" t="s">
        <v>225</v>
      </c>
      <c r="E480" s="98" t="s">
        <v>224</v>
      </c>
      <c r="F480" s="39">
        <f>51.2+20.2</f>
        <v>71.400000000000006</v>
      </c>
      <c r="G480" s="39">
        <f t="shared" ref="G480:H480" si="123">51.2+20.2</f>
        <v>71.400000000000006</v>
      </c>
      <c r="H480" s="39">
        <f t="shared" si="123"/>
        <v>71.400000000000006</v>
      </c>
    </row>
    <row r="481" spans="1:8" s="37" customFormat="1" ht="63.75" x14ac:dyDescent="0.2">
      <c r="A481" s="16" t="s">
        <v>104</v>
      </c>
      <c r="B481" s="82" t="s">
        <v>93</v>
      </c>
      <c r="C481" s="133" t="s">
        <v>721</v>
      </c>
      <c r="D481" s="21"/>
      <c r="E481" s="124" t="s">
        <v>722</v>
      </c>
      <c r="F481" s="39">
        <f>F482</f>
        <v>420.3</v>
      </c>
      <c r="G481" s="39">
        <f t="shared" ref="G481:H481" si="124">G482</f>
        <v>0</v>
      </c>
      <c r="H481" s="39">
        <f t="shared" si="124"/>
        <v>0</v>
      </c>
    </row>
    <row r="482" spans="1:8" s="37" customFormat="1" ht="14.25" x14ac:dyDescent="0.2">
      <c r="A482" s="16" t="s">
        <v>104</v>
      </c>
      <c r="B482" s="82" t="s">
        <v>93</v>
      </c>
      <c r="C482" s="133" t="s">
        <v>721</v>
      </c>
      <c r="D482" s="21" t="s">
        <v>225</v>
      </c>
      <c r="E482" s="98" t="s">
        <v>224</v>
      </c>
      <c r="F482" s="39">
        <v>420.3</v>
      </c>
      <c r="G482" s="39">
        <v>0</v>
      </c>
      <c r="H482" s="39">
        <v>0</v>
      </c>
    </row>
    <row r="483" spans="1:8" s="37" customFormat="1" ht="38.25" x14ac:dyDescent="0.2">
      <c r="A483" s="82" t="s">
        <v>104</v>
      </c>
      <c r="B483" s="82" t="s">
        <v>93</v>
      </c>
      <c r="C483" s="82" t="s">
        <v>24</v>
      </c>
      <c r="D483" s="82"/>
      <c r="E483" s="99" t="s">
        <v>38</v>
      </c>
      <c r="F483" s="41">
        <f>F484</f>
        <v>300</v>
      </c>
      <c r="G483" s="41">
        <f t="shared" ref="G483:H483" si="125">G484</f>
        <v>0</v>
      </c>
      <c r="H483" s="41">
        <f t="shared" si="125"/>
        <v>0</v>
      </c>
    </row>
    <row r="484" spans="1:8" s="37" customFormat="1" ht="51" x14ac:dyDescent="0.2">
      <c r="A484" s="16" t="s">
        <v>104</v>
      </c>
      <c r="B484" s="82" t="s">
        <v>93</v>
      </c>
      <c r="C484" s="82" t="s">
        <v>568</v>
      </c>
      <c r="D484" s="16"/>
      <c r="E484" s="54" t="s">
        <v>566</v>
      </c>
      <c r="F484" s="41">
        <f>SUM(F485:F485)</f>
        <v>300</v>
      </c>
      <c r="G484" s="41">
        <f>SUM(G485:G485)</f>
        <v>0</v>
      </c>
      <c r="H484" s="41">
        <f>SUM(H485:H485)</f>
        <v>0</v>
      </c>
    </row>
    <row r="485" spans="1:8" s="37" customFormat="1" ht="14.25" x14ac:dyDescent="0.2">
      <c r="A485" s="16" t="s">
        <v>104</v>
      </c>
      <c r="B485" s="82" t="s">
        <v>93</v>
      </c>
      <c r="C485" s="82" t="s">
        <v>568</v>
      </c>
      <c r="D485" s="21" t="s">
        <v>225</v>
      </c>
      <c r="E485" s="98" t="s">
        <v>224</v>
      </c>
      <c r="F485" s="39">
        <f>200+100</f>
        <v>300</v>
      </c>
      <c r="G485" s="39">
        <v>0</v>
      </c>
      <c r="H485" s="39">
        <v>0</v>
      </c>
    </row>
    <row r="486" spans="1:8" s="37" customFormat="1" ht="38.25" x14ac:dyDescent="0.2">
      <c r="A486" s="35" t="s">
        <v>104</v>
      </c>
      <c r="B486" s="35" t="s">
        <v>95</v>
      </c>
      <c r="C486" s="35"/>
      <c r="D486" s="35"/>
      <c r="E486" s="46" t="s">
        <v>2</v>
      </c>
      <c r="F486" s="42">
        <f t="shared" ref="F486:H488" si="126">F487</f>
        <v>193.2</v>
      </c>
      <c r="G486" s="42">
        <f t="shared" si="126"/>
        <v>130</v>
      </c>
      <c r="H486" s="42">
        <f t="shared" si="126"/>
        <v>130</v>
      </c>
    </row>
    <row r="487" spans="1:8" s="37" customFormat="1" ht="76.5" x14ac:dyDescent="0.2">
      <c r="A487" s="16" t="s">
        <v>104</v>
      </c>
      <c r="B487" s="16" t="s">
        <v>95</v>
      </c>
      <c r="C487" s="21" t="s">
        <v>73</v>
      </c>
      <c r="D487" s="35"/>
      <c r="E487" s="64" t="s">
        <v>571</v>
      </c>
      <c r="F487" s="62">
        <f t="shared" si="126"/>
        <v>193.2</v>
      </c>
      <c r="G487" s="62">
        <f t="shared" si="126"/>
        <v>130</v>
      </c>
      <c r="H487" s="62">
        <f t="shared" si="126"/>
        <v>130</v>
      </c>
    </row>
    <row r="488" spans="1:8" s="37" customFormat="1" ht="25.5" customHeight="1" x14ac:dyDescent="0.2">
      <c r="A488" s="16" t="s">
        <v>104</v>
      </c>
      <c r="B488" s="16" t="s">
        <v>95</v>
      </c>
      <c r="C488" s="52" t="s">
        <v>427</v>
      </c>
      <c r="D488" s="35"/>
      <c r="E488" s="46" t="s">
        <v>426</v>
      </c>
      <c r="F488" s="58">
        <f t="shared" si="126"/>
        <v>193.2</v>
      </c>
      <c r="G488" s="58">
        <f t="shared" si="126"/>
        <v>130</v>
      </c>
      <c r="H488" s="58">
        <f t="shared" si="126"/>
        <v>130</v>
      </c>
    </row>
    <row r="489" spans="1:8" s="37" customFormat="1" ht="38.25" x14ac:dyDescent="0.2">
      <c r="A489" s="16" t="s">
        <v>104</v>
      </c>
      <c r="B489" s="16" t="s">
        <v>95</v>
      </c>
      <c r="C489" s="57" t="s">
        <v>553</v>
      </c>
      <c r="D489" s="16"/>
      <c r="E489" s="98" t="s">
        <v>44</v>
      </c>
      <c r="F489" s="41">
        <f>F490</f>
        <v>193.2</v>
      </c>
      <c r="G489" s="41">
        <f>G490</f>
        <v>130</v>
      </c>
      <c r="H489" s="41">
        <f>H490</f>
        <v>130</v>
      </c>
    </row>
    <row r="490" spans="1:8" s="37" customFormat="1" ht="14.25" x14ac:dyDescent="0.2">
      <c r="A490" s="16" t="s">
        <v>104</v>
      </c>
      <c r="B490" s="16" t="s">
        <v>95</v>
      </c>
      <c r="C490" s="57" t="s">
        <v>553</v>
      </c>
      <c r="D490" s="21" t="s">
        <v>225</v>
      </c>
      <c r="E490" s="98" t="s">
        <v>224</v>
      </c>
      <c r="F490" s="94">
        <f>193.2-63.2-25.8+89</f>
        <v>193.2</v>
      </c>
      <c r="G490" s="94">
        <f>193.2-63.2</f>
        <v>130</v>
      </c>
      <c r="H490" s="94">
        <f>193.2-63.2</f>
        <v>130</v>
      </c>
    </row>
    <row r="491" spans="1:8" s="37" customFormat="1" ht="14.25" x14ac:dyDescent="0.2">
      <c r="A491" s="35" t="s">
        <v>104</v>
      </c>
      <c r="B491" s="35" t="s">
        <v>104</v>
      </c>
      <c r="C491" s="35"/>
      <c r="D491" s="35"/>
      <c r="E491" s="46" t="s">
        <v>155</v>
      </c>
      <c r="F491" s="42">
        <f>F492+F508</f>
        <v>12345</v>
      </c>
      <c r="G491" s="42">
        <f>G492+G508</f>
        <v>7727.4</v>
      </c>
      <c r="H491" s="42">
        <f>H492+H508</f>
        <v>7727.4</v>
      </c>
    </row>
    <row r="492" spans="1:8" ht="90" x14ac:dyDescent="0.25">
      <c r="A492" s="5" t="s">
        <v>104</v>
      </c>
      <c r="B492" s="5" t="s">
        <v>104</v>
      </c>
      <c r="C492" s="73" t="s">
        <v>59</v>
      </c>
      <c r="D492" s="35"/>
      <c r="E492" s="53" t="s">
        <v>572</v>
      </c>
      <c r="F492" s="65">
        <f>F493</f>
        <v>12265</v>
      </c>
      <c r="G492" s="65">
        <f t="shared" ref="G492:H492" si="127">G493</f>
        <v>7677.4</v>
      </c>
      <c r="H492" s="65">
        <f t="shared" si="127"/>
        <v>7677.4</v>
      </c>
    </row>
    <row r="493" spans="1:8" ht="25.5" x14ac:dyDescent="0.2">
      <c r="A493" s="16" t="s">
        <v>104</v>
      </c>
      <c r="B493" s="16" t="s">
        <v>104</v>
      </c>
      <c r="C493" s="52" t="s">
        <v>30</v>
      </c>
      <c r="D493" s="21"/>
      <c r="E493" s="48" t="s">
        <v>177</v>
      </c>
      <c r="F493" s="41">
        <f>F494+F496+F498+F500+F502+F504+F506</f>
        <v>12265</v>
      </c>
      <c r="G493" s="41">
        <f t="shared" ref="G493:H493" si="128">G494+G496+G498+G500+G502+G504+G506</f>
        <v>7677.4</v>
      </c>
      <c r="H493" s="41">
        <f t="shared" si="128"/>
        <v>7677.4</v>
      </c>
    </row>
    <row r="494" spans="1:8" ht="51" x14ac:dyDescent="0.2">
      <c r="A494" s="16" t="s">
        <v>104</v>
      </c>
      <c r="B494" s="16" t="s">
        <v>104</v>
      </c>
      <c r="C494" s="135" t="s">
        <v>450</v>
      </c>
      <c r="D494" s="16"/>
      <c r="E494" s="100" t="s">
        <v>206</v>
      </c>
      <c r="F494" s="39">
        <f>F495</f>
        <v>6.6</v>
      </c>
      <c r="G494" s="39">
        <f>G495</f>
        <v>6.6</v>
      </c>
      <c r="H494" s="39">
        <f>H495</f>
        <v>6.6</v>
      </c>
    </row>
    <row r="495" spans="1:8" ht="38.25" x14ac:dyDescent="0.2">
      <c r="A495" s="16" t="s">
        <v>104</v>
      </c>
      <c r="B495" s="16" t="s">
        <v>104</v>
      </c>
      <c r="C495" s="135" t="s">
        <v>450</v>
      </c>
      <c r="D495" s="82" t="s">
        <v>211</v>
      </c>
      <c r="E495" s="98" t="s">
        <v>212</v>
      </c>
      <c r="F495" s="41">
        <v>6.6</v>
      </c>
      <c r="G495" s="41">
        <v>6.6</v>
      </c>
      <c r="H495" s="41">
        <v>6.6</v>
      </c>
    </row>
    <row r="496" spans="1:8" ht="25.5" x14ac:dyDescent="0.2">
      <c r="A496" s="16" t="s">
        <v>104</v>
      </c>
      <c r="B496" s="16" t="s">
        <v>104</v>
      </c>
      <c r="C496" s="135" t="s">
        <v>451</v>
      </c>
      <c r="D496" s="16"/>
      <c r="E496" s="98" t="s">
        <v>178</v>
      </c>
      <c r="F496" s="41">
        <f>F497</f>
        <v>289.60000000000002</v>
      </c>
      <c r="G496" s="41">
        <f>G497</f>
        <v>289.60000000000002</v>
      </c>
      <c r="H496" s="41">
        <f>H497</f>
        <v>289.60000000000002</v>
      </c>
    </row>
    <row r="497" spans="1:8" ht="38.25" x14ac:dyDescent="0.2">
      <c r="A497" s="16" t="s">
        <v>104</v>
      </c>
      <c r="B497" s="16" t="s">
        <v>104</v>
      </c>
      <c r="C497" s="135" t="s">
        <v>451</v>
      </c>
      <c r="D497" s="82" t="s">
        <v>211</v>
      </c>
      <c r="E497" s="98" t="s">
        <v>212</v>
      </c>
      <c r="F497" s="41">
        <v>289.60000000000002</v>
      </c>
      <c r="G497" s="41">
        <v>289.60000000000002</v>
      </c>
      <c r="H497" s="41">
        <v>289.60000000000002</v>
      </c>
    </row>
    <row r="498" spans="1:8" ht="63.75" x14ac:dyDescent="0.2">
      <c r="A498" s="16" t="s">
        <v>104</v>
      </c>
      <c r="B498" s="16" t="s">
        <v>104</v>
      </c>
      <c r="C498" s="135" t="s">
        <v>452</v>
      </c>
      <c r="D498" s="16"/>
      <c r="E498" s="98" t="s">
        <v>77</v>
      </c>
      <c r="F498" s="41">
        <f>F499</f>
        <v>15</v>
      </c>
      <c r="G498" s="41">
        <f>G499</f>
        <v>15</v>
      </c>
      <c r="H498" s="41">
        <f>H499</f>
        <v>15</v>
      </c>
    </row>
    <row r="499" spans="1:8" ht="38.25" x14ac:dyDescent="0.2">
      <c r="A499" s="16" t="s">
        <v>104</v>
      </c>
      <c r="B499" s="16" t="s">
        <v>104</v>
      </c>
      <c r="C499" s="135" t="s">
        <v>452</v>
      </c>
      <c r="D499" s="82" t="s">
        <v>211</v>
      </c>
      <c r="E499" s="98" t="s">
        <v>212</v>
      </c>
      <c r="F499" s="41">
        <v>15</v>
      </c>
      <c r="G499" s="41">
        <v>15</v>
      </c>
      <c r="H499" s="41">
        <v>15</v>
      </c>
    </row>
    <row r="500" spans="1:8" x14ac:dyDescent="0.2">
      <c r="A500" s="16" t="s">
        <v>104</v>
      </c>
      <c r="B500" s="16" t="s">
        <v>104</v>
      </c>
      <c r="C500" s="135" t="s">
        <v>453</v>
      </c>
      <c r="D500" s="82"/>
      <c r="E500" s="54" t="s">
        <v>374</v>
      </c>
      <c r="F500" s="41">
        <f>F501</f>
        <v>50</v>
      </c>
      <c r="G500" s="41">
        <f>G501</f>
        <v>50</v>
      </c>
      <c r="H500" s="41">
        <f>H501</f>
        <v>50</v>
      </c>
    </row>
    <row r="501" spans="1:8" ht="38.25" x14ac:dyDescent="0.2">
      <c r="A501" s="16" t="s">
        <v>104</v>
      </c>
      <c r="B501" s="16" t="s">
        <v>104</v>
      </c>
      <c r="C501" s="135" t="s">
        <v>453</v>
      </c>
      <c r="D501" s="82" t="s">
        <v>211</v>
      </c>
      <c r="E501" s="98" t="s">
        <v>212</v>
      </c>
      <c r="F501" s="41">
        <v>50</v>
      </c>
      <c r="G501" s="41">
        <v>50</v>
      </c>
      <c r="H501" s="41">
        <v>50</v>
      </c>
    </row>
    <row r="502" spans="1:8" ht="42.75" customHeight="1" x14ac:dyDescent="0.2">
      <c r="A502" s="16" t="s">
        <v>104</v>
      </c>
      <c r="B502" s="16" t="s">
        <v>104</v>
      </c>
      <c r="C502" s="74">
        <v>230221100</v>
      </c>
      <c r="D502" s="16"/>
      <c r="E502" s="98" t="s">
        <v>0</v>
      </c>
      <c r="F502" s="41">
        <f t="shared" ref="F502:H502" si="129">F503</f>
        <v>11039.8</v>
      </c>
      <c r="G502" s="41">
        <f t="shared" si="129"/>
        <v>7316.2</v>
      </c>
      <c r="H502" s="41">
        <f t="shared" si="129"/>
        <v>7316.2</v>
      </c>
    </row>
    <row r="503" spans="1:8" x14ac:dyDescent="0.2">
      <c r="A503" s="16" t="s">
        <v>104</v>
      </c>
      <c r="B503" s="16" t="s">
        <v>104</v>
      </c>
      <c r="C503" s="74">
        <v>230221100</v>
      </c>
      <c r="D503" s="82" t="s">
        <v>225</v>
      </c>
      <c r="E503" s="98" t="s">
        <v>224</v>
      </c>
      <c r="F503" s="41">
        <f>10339.8+700</f>
        <v>11039.8</v>
      </c>
      <c r="G503" s="41">
        <v>7316.2</v>
      </c>
      <c r="H503" s="41">
        <v>7316.2</v>
      </c>
    </row>
    <row r="504" spans="1:8" ht="57.75" customHeight="1" x14ac:dyDescent="0.2">
      <c r="A504" s="16" t="s">
        <v>104</v>
      </c>
      <c r="B504" s="16" t="s">
        <v>104</v>
      </c>
      <c r="C504" s="74">
        <v>230321210</v>
      </c>
      <c r="D504" s="82"/>
      <c r="E504" s="98" t="s">
        <v>454</v>
      </c>
      <c r="F504" s="41">
        <f t="shared" ref="F504:H504" si="130">F505</f>
        <v>90</v>
      </c>
      <c r="G504" s="41">
        <f t="shared" si="130"/>
        <v>0</v>
      </c>
      <c r="H504" s="41">
        <f t="shared" si="130"/>
        <v>0</v>
      </c>
    </row>
    <row r="505" spans="1:8" x14ac:dyDescent="0.2">
      <c r="A505" s="82" t="s">
        <v>104</v>
      </c>
      <c r="B505" s="82" t="s">
        <v>104</v>
      </c>
      <c r="C505" s="74">
        <v>230321210</v>
      </c>
      <c r="D505" s="21" t="s">
        <v>225</v>
      </c>
      <c r="E505" s="98" t="s">
        <v>224</v>
      </c>
      <c r="F505" s="41">
        <v>90</v>
      </c>
      <c r="G505" s="41">
        <v>0</v>
      </c>
      <c r="H505" s="41">
        <v>0</v>
      </c>
    </row>
    <row r="506" spans="1:8" ht="51" customHeight="1" x14ac:dyDescent="0.2">
      <c r="A506" s="16" t="s">
        <v>104</v>
      </c>
      <c r="B506" s="16" t="s">
        <v>104</v>
      </c>
      <c r="C506" s="74">
        <v>230321220</v>
      </c>
      <c r="D506" s="21"/>
      <c r="E506" s="98" t="s">
        <v>679</v>
      </c>
      <c r="F506" s="41">
        <f>F507</f>
        <v>774</v>
      </c>
      <c r="G506" s="41">
        <f t="shared" ref="G506:H506" si="131">G507</f>
        <v>0</v>
      </c>
      <c r="H506" s="41">
        <f t="shared" si="131"/>
        <v>0</v>
      </c>
    </row>
    <row r="507" spans="1:8" x14ac:dyDescent="0.2">
      <c r="A507" s="82" t="s">
        <v>104</v>
      </c>
      <c r="B507" s="82" t="s">
        <v>104</v>
      </c>
      <c r="C507" s="74">
        <v>230321220</v>
      </c>
      <c r="D507" s="21" t="s">
        <v>225</v>
      </c>
      <c r="E507" s="98" t="s">
        <v>224</v>
      </c>
      <c r="F507" s="41">
        <f>474+300</f>
        <v>774</v>
      </c>
      <c r="G507" s="41">
        <v>0</v>
      </c>
      <c r="H507" s="41">
        <v>0</v>
      </c>
    </row>
    <row r="508" spans="1:8" ht="89.25" x14ac:dyDescent="0.2">
      <c r="A508" s="5" t="s">
        <v>104</v>
      </c>
      <c r="B508" s="5" t="s">
        <v>104</v>
      </c>
      <c r="C508" s="73" t="s">
        <v>71</v>
      </c>
      <c r="D508" s="16"/>
      <c r="E508" s="53" t="s">
        <v>582</v>
      </c>
      <c r="F508" s="96">
        <f>F509+F514</f>
        <v>80</v>
      </c>
      <c r="G508" s="96">
        <f t="shared" ref="G508:H508" si="132">G509+G514</f>
        <v>50</v>
      </c>
      <c r="H508" s="96">
        <f t="shared" si="132"/>
        <v>50</v>
      </c>
    </row>
    <row r="509" spans="1:8" ht="76.5" x14ac:dyDescent="0.2">
      <c r="A509" s="47" t="s">
        <v>104</v>
      </c>
      <c r="B509" s="47" t="s">
        <v>104</v>
      </c>
      <c r="C509" s="52" t="s">
        <v>514</v>
      </c>
      <c r="D509" s="16"/>
      <c r="E509" s="48" t="s">
        <v>179</v>
      </c>
      <c r="F509" s="93">
        <f>F510+F512</f>
        <v>40</v>
      </c>
      <c r="G509" s="93">
        <f t="shared" ref="G509:H509" si="133">G510+G512</f>
        <v>50</v>
      </c>
      <c r="H509" s="93">
        <f t="shared" si="133"/>
        <v>50</v>
      </c>
    </row>
    <row r="510" spans="1:8" ht="102" x14ac:dyDescent="0.2">
      <c r="A510" s="16" t="s">
        <v>104</v>
      </c>
      <c r="B510" s="16" t="s">
        <v>104</v>
      </c>
      <c r="C510" s="74">
        <v>1020123085</v>
      </c>
      <c r="D510" s="16"/>
      <c r="E510" s="98" t="s">
        <v>180</v>
      </c>
      <c r="F510" s="41">
        <f>F511</f>
        <v>5</v>
      </c>
      <c r="G510" s="41">
        <f>G511</f>
        <v>5</v>
      </c>
      <c r="H510" s="41">
        <f>H511</f>
        <v>5</v>
      </c>
    </row>
    <row r="511" spans="1:8" ht="38.25" x14ac:dyDescent="0.2">
      <c r="A511" s="16" t="s">
        <v>104</v>
      </c>
      <c r="B511" s="16" t="s">
        <v>104</v>
      </c>
      <c r="C511" s="74">
        <v>1020123085</v>
      </c>
      <c r="D511" s="82" t="s">
        <v>211</v>
      </c>
      <c r="E511" s="98" t="s">
        <v>212</v>
      </c>
      <c r="F511" s="41">
        <v>5</v>
      </c>
      <c r="G511" s="41">
        <v>5</v>
      </c>
      <c r="H511" s="41">
        <v>5</v>
      </c>
    </row>
    <row r="512" spans="1:8" x14ac:dyDescent="0.2">
      <c r="A512" s="16" t="s">
        <v>104</v>
      </c>
      <c r="B512" s="16" t="s">
        <v>104</v>
      </c>
      <c r="C512" s="74">
        <v>1020123086</v>
      </c>
      <c r="D512" s="16"/>
      <c r="E512" s="98" t="s">
        <v>181</v>
      </c>
      <c r="F512" s="41">
        <f>F513</f>
        <v>35</v>
      </c>
      <c r="G512" s="41">
        <f>G513</f>
        <v>45</v>
      </c>
      <c r="H512" s="41">
        <f>H513</f>
        <v>45</v>
      </c>
    </row>
    <row r="513" spans="1:10" ht="38.25" x14ac:dyDescent="0.2">
      <c r="A513" s="16" t="s">
        <v>104</v>
      </c>
      <c r="B513" s="16" t="s">
        <v>104</v>
      </c>
      <c r="C513" s="74">
        <v>1020123086</v>
      </c>
      <c r="D513" s="82" t="s">
        <v>211</v>
      </c>
      <c r="E513" s="98" t="s">
        <v>212</v>
      </c>
      <c r="F513" s="41">
        <v>35</v>
      </c>
      <c r="G513" s="41">
        <v>45</v>
      </c>
      <c r="H513" s="41">
        <v>45</v>
      </c>
    </row>
    <row r="514" spans="1:10" ht="51" x14ac:dyDescent="0.2">
      <c r="A514" s="47" t="s">
        <v>104</v>
      </c>
      <c r="B514" s="47" t="s">
        <v>104</v>
      </c>
      <c r="C514" s="52" t="s">
        <v>613</v>
      </c>
      <c r="D514" s="82"/>
      <c r="E514" s="60" t="s">
        <v>631</v>
      </c>
      <c r="F514" s="93">
        <f>F515</f>
        <v>40</v>
      </c>
      <c r="G514" s="93">
        <f t="shared" ref="G514:H514" si="134">G515</f>
        <v>0</v>
      </c>
      <c r="H514" s="93">
        <f t="shared" si="134"/>
        <v>0</v>
      </c>
    </row>
    <row r="515" spans="1:10" ht="38.25" x14ac:dyDescent="0.2">
      <c r="A515" s="16" t="s">
        <v>104</v>
      </c>
      <c r="B515" s="16" t="s">
        <v>104</v>
      </c>
      <c r="C515" s="74">
        <v>1030323090</v>
      </c>
      <c r="D515" s="82"/>
      <c r="E515" s="98" t="s">
        <v>614</v>
      </c>
      <c r="F515" s="41">
        <f>F516</f>
        <v>40</v>
      </c>
      <c r="G515" s="41">
        <f t="shared" ref="G515:H515" si="135">G516</f>
        <v>0</v>
      </c>
      <c r="H515" s="41">
        <f t="shared" si="135"/>
        <v>0</v>
      </c>
    </row>
    <row r="516" spans="1:10" ht="38.25" x14ac:dyDescent="0.2">
      <c r="A516" s="16" t="s">
        <v>104</v>
      </c>
      <c r="B516" s="16" t="s">
        <v>104</v>
      </c>
      <c r="C516" s="74">
        <v>1030323090</v>
      </c>
      <c r="D516" s="82" t="s">
        <v>211</v>
      </c>
      <c r="E516" s="98" t="s">
        <v>212</v>
      </c>
      <c r="F516" s="41">
        <v>40</v>
      </c>
      <c r="G516" s="41">
        <v>0</v>
      </c>
      <c r="H516" s="41">
        <v>0</v>
      </c>
    </row>
    <row r="517" spans="1:10" ht="25.5" x14ac:dyDescent="0.2">
      <c r="A517" s="35" t="s">
        <v>104</v>
      </c>
      <c r="B517" s="35" t="s">
        <v>99</v>
      </c>
      <c r="C517" s="35"/>
      <c r="D517" s="35"/>
      <c r="E517" s="46" t="s">
        <v>109</v>
      </c>
      <c r="F517" s="42">
        <f t="shared" ref="F517:H517" si="136">F518</f>
        <v>16231.399999999998</v>
      </c>
      <c r="G517" s="42">
        <f t="shared" si="136"/>
        <v>15863.8</v>
      </c>
      <c r="H517" s="42">
        <f t="shared" si="136"/>
        <v>15863.8</v>
      </c>
    </row>
    <row r="518" spans="1:10" s="20" customFormat="1" ht="77.25" x14ac:dyDescent="0.25">
      <c r="A518" s="16" t="s">
        <v>104</v>
      </c>
      <c r="B518" s="16" t="s">
        <v>99</v>
      </c>
      <c r="C518" s="21" t="s">
        <v>73</v>
      </c>
      <c r="D518" s="35"/>
      <c r="E518" s="64" t="s">
        <v>571</v>
      </c>
      <c r="F518" s="62">
        <f>F519+F528+F546</f>
        <v>16231.399999999998</v>
      </c>
      <c r="G518" s="62">
        <f>G519+G528+G546</f>
        <v>15863.8</v>
      </c>
      <c r="H518" s="62">
        <f>H519+H528+H546</f>
        <v>15863.8</v>
      </c>
    </row>
    <row r="519" spans="1:10" s="20" customFormat="1" ht="42" customHeight="1" x14ac:dyDescent="0.25">
      <c r="A519" s="16" t="s">
        <v>104</v>
      </c>
      <c r="B519" s="16" t="s">
        <v>99</v>
      </c>
      <c r="C519" s="52" t="s">
        <v>75</v>
      </c>
      <c r="D519" s="21"/>
      <c r="E519" s="46" t="s">
        <v>559</v>
      </c>
      <c r="F519" s="58">
        <f>F520+F522+F525</f>
        <v>5708.7999999999993</v>
      </c>
      <c r="G519" s="58">
        <f>G520+G522+G525</f>
        <v>5708.7999999999993</v>
      </c>
      <c r="H519" s="58">
        <f>H520+H522+H525</f>
        <v>5708.7999999999993</v>
      </c>
    </row>
    <row r="520" spans="1:10" s="20" customFormat="1" ht="21" customHeight="1" x14ac:dyDescent="0.25">
      <c r="A520" s="16" t="s">
        <v>104</v>
      </c>
      <c r="B520" s="16" t="s">
        <v>99</v>
      </c>
      <c r="C520" s="57" t="s">
        <v>407</v>
      </c>
      <c r="D520" s="21"/>
      <c r="E520" s="98" t="s">
        <v>45</v>
      </c>
      <c r="F520" s="41">
        <f>F521</f>
        <v>3042.5</v>
      </c>
      <c r="G520" s="41">
        <f>G521</f>
        <v>3042.5</v>
      </c>
      <c r="H520" s="41">
        <f>H521</f>
        <v>3042.5</v>
      </c>
    </row>
    <row r="521" spans="1:10" s="20" customFormat="1" ht="19.5" customHeight="1" x14ac:dyDescent="0.25">
      <c r="A521" s="16" t="s">
        <v>104</v>
      </c>
      <c r="B521" s="16" t="s">
        <v>99</v>
      </c>
      <c r="C521" s="57" t="s">
        <v>407</v>
      </c>
      <c r="D521" s="21" t="s">
        <v>225</v>
      </c>
      <c r="E521" s="98" t="s">
        <v>224</v>
      </c>
      <c r="F521" s="41">
        <v>3042.5</v>
      </c>
      <c r="G521" s="41">
        <v>3042.5</v>
      </c>
      <c r="H521" s="41">
        <v>3042.5</v>
      </c>
    </row>
    <row r="522" spans="1:10" s="20" customFormat="1" ht="42" customHeight="1" x14ac:dyDescent="0.25">
      <c r="A522" s="16" t="s">
        <v>104</v>
      </c>
      <c r="B522" s="16" t="s">
        <v>99</v>
      </c>
      <c r="C522" s="57" t="s">
        <v>409</v>
      </c>
      <c r="D522" s="21"/>
      <c r="E522" s="98" t="s">
        <v>408</v>
      </c>
      <c r="F522" s="41">
        <f>SUM(F523:F524)</f>
        <v>2450.4</v>
      </c>
      <c r="G522" s="41">
        <f>SUM(G523:G524)</f>
        <v>2450.4</v>
      </c>
      <c r="H522" s="41">
        <f>SUM(H523:H524)</f>
        <v>2450.4</v>
      </c>
      <c r="J522" s="163"/>
    </row>
    <row r="523" spans="1:10" s="20" customFormat="1" ht="36.75" customHeight="1" x14ac:dyDescent="0.25">
      <c r="A523" s="16" t="s">
        <v>104</v>
      </c>
      <c r="B523" s="16" t="s">
        <v>99</v>
      </c>
      <c r="C523" s="57" t="s">
        <v>409</v>
      </c>
      <c r="D523" s="82" t="s">
        <v>211</v>
      </c>
      <c r="E523" s="98" t="s">
        <v>212</v>
      </c>
      <c r="F523" s="39">
        <v>200</v>
      </c>
      <c r="G523" s="39">
        <v>200</v>
      </c>
      <c r="H523" s="39">
        <v>200</v>
      </c>
    </row>
    <row r="524" spans="1:10" s="20" customFormat="1" ht="17.25" customHeight="1" x14ac:dyDescent="0.25">
      <c r="A524" s="16" t="s">
        <v>104</v>
      </c>
      <c r="B524" s="16" t="s">
        <v>99</v>
      </c>
      <c r="C524" s="57" t="s">
        <v>409</v>
      </c>
      <c r="D524" s="21" t="s">
        <v>225</v>
      </c>
      <c r="E524" s="98" t="s">
        <v>224</v>
      </c>
      <c r="F524" s="39">
        <v>2250.4</v>
      </c>
      <c r="G524" s="39">
        <v>2250.4</v>
      </c>
      <c r="H524" s="39">
        <v>2250.4</v>
      </c>
    </row>
    <row r="525" spans="1:10" s="20" customFormat="1" ht="38.25" x14ac:dyDescent="0.25">
      <c r="A525" s="16" t="s">
        <v>104</v>
      </c>
      <c r="B525" s="16" t="s">
        <v>99</v>
      </c>
      <c r="C525" s="57" t="s">
        <v>555</v>
      </c>
      <c r="D525" s="21"/>
      <c r="E525" s="98" t="s">
        <v>134</v>
      </c>
      <c r="F525" s="41">
        <f>SUM(F526:F527)</f>
        <v>215.9</v>
      </c>
      <c r="G525" s="41">
        <f>SUM(G526:G527)</f>
        <v>215.9</v>
      </c>
      <c r="H525" s="41">
        <f>SUM(H526:H527)</f>
        <v>215.9</v>
      </c>
    </row>
    <row r="526" spans="1:10" s="20" customFormat="1" ht="25.5" x14ac:dyDescent="0.25">
      <c r="A526" s="16" t="s">
        <v>104</v>
      </c>
      <c r="B526" s="16" t="s">
        <v>99</v>
      </c>
      <c r="C526" s="57" t="s">
        <v>555</v>
      </c>
      <c r="D526" s="82" t="s">
        <v>64</v>
      </c>
      <c r="E526" s="55" t="s">
        <v>130</v>
      </c>
      <c r="F526" s="41">
        <v>88.5</v>
      </c>
      <c r="G526" s="41">
        <v>88.5</v>
      </c>
      <c r="H526" s="41">
        <v>88.5</v>
      </c>
    </row>
    <row r="527" spans="1:10" s="20" customFormat="1" ht="38.25" x14ac:dyDescent="0.25">
      <c r="A527" s="16" t="s">
        <v>104</v>
      </c>
      <c r="B527" s="16" t="s">
        <v>99</v>
      </c>
      <c r="C527" s="57" t="s">
        <v>555</v>
      </c>
      <c r="D527" s="82" t="s">
        <v>211</v>
      </c>
      <c r="E527" s="98" t="s">
        <v>212</v>
      </c>
      <c r="F527" s="41">
        <v>127.4</v>
      </c>
      <c r="G527" s="41">
        <v>127.4</v>
      </c>
      <c r="H527" s="41">
        <v>127.4</v>
      </c>
    </row>
    <row r="528" spans="1:10" s="20" customFormat="1" ht="24.75" customHeight="1" x14ac:dyDescent="0.25">
      <c r="A528" s="16" t="s">
        <v>104</v>
      </c>
      <c r="B528" s="16" t="s">
        <v>99</v>
      </c>
      <c r="C528" s="52" t="s">
        <v>427</v>
      </c>
      <c r="D528" s="82"/>
      <c r="E528" s="46" t="s">
        <v>426</v>
      </c>
      <c r="F528" s="41">
        <f>F529+F531+F533+F535+F537+F540+F542+F544</f>
        <v>1466.7</v>
      </c>
      <c r="G528" s="41">
        <f t="shared" ref="G528:H528" si="137">G529+G531+G533+G535+G537+G540+G542+G544</f>
        <v>1409.8</v>
      </c>
      <c r="H528" s="41">
        <f t="shared" si="137"/>
        <v>1409.8</v>
      </c>
    </row>
    <row r="529" spans="1:10" s="20" customFormat="1" ht="51.75" x14ac:dyDescent="0.25">
      <c r="A529" s="16" t="s">
        <v>104</v>
      </c>
      <c r="B529" s="16" t="s">
        <v>99</v>
      </c>
      <c r="C529" s="21" t="s">
        <v>556</v>
      </c>
      <c r="D529" s="16"/>
      <c r="E529" s="97" t="s">
        <v>429</v>
      </c>
      <c r="F529" s="39">
        <f>F530</f>
        <v>141.69999999999999</v>
      </c>
      <c r="G529" s="39">
        <f>G530</f>
        <v>141.69999999999999</v>
      </c>
      <c r="H529" s="39">
        <f>H530</f>
        <v>141.69999999999999</v>
      </c>
    </row>
    <row r="530" spans="1:10" s="20" customFormat="1" ht="15" x14ac:dyDescent="0.25">
      <c r="A530" s="16" t="s">
        <v>104</v>
      </c>
      <c r="B530" s="16" t="s">
        <v>99</v>
      </c>
      <c r="C530" s="21" t="s">
        <v>556</v>
      </c>
      <c r="D530" s="82" t="s">
        <v>355</v>
      </c>
      <c r="E530" s="98" t="s">
        <v>356</v>
      </c>
      <c r="F530" s="41">
        <v>141.69999999999999</v>
      </c>
      <c r="G530" s="41">
        <v>141.69999999999999</v>
      </c>
      <c r="H530" s="41">
        <v>141.69999999999999</v>
      </c>
    </row>
    <row r="531" spans="1:10" s="20" customFormat="1" ht="38.25" x14ac:dyDescent="0.25">
      <c r="A531" s="16" t="s">
        <v>104</v>
      </c>
      <c r="B531" s="16" t="s">
        <v>99</v>
      </c>
      <c r="C531" s="57" t="s">
        <v>557</v>
      </c>
      <c r="D531" s="16"/>
      <c r="E531" s="98" t="s">
        <v>49</v>
      </c>
      <c r="F531" s="41">
        <f>F532</f>
        <v>112.2</v>
      </c>
      <c r="G531" s="41">
        <f>G532</f>
        <v>112.2</v>
      </c>
      <c r="H531" s="41">
        <f>H532</f>
        <v>112.2</v>
      </c>
    </row>
    <row r="532" spans="1:10" s="20" customFormat="1" ht="38.25" x14ac:dyDescent="0.25">
      <c r="A532" s="16" t="s">
        <v>104</v>
      </c>
      <c r="B532" s="16" t="s">
        <v>99</v>
      </c>
      <c r="C532" s="57" t="s">
        <v>557</v>
      </c>
      <c r="D532" s="82" t="s">
        <v>211</v>
      </c>
      <c r="E532" s="98" t="s">
        <v>212</v>
      </c>
      <c r="F532" s="41">
        <v>112.2</v>
      </c>
      <c r="G532" s="41">
        <v>112.2</v>
      </c>
      <c r="H532" s="41">
        <v>112.2</v>
      </c>
    </row>
    <row r="533" spans="1:10" s="20" customFormat="1" ht="38.25" x14ac:dyDescent="0.25">
      <c r="A533" s="16" t="s">
        <v>104</v>
      </c>
      <c r="B533" s="16" t="s">
        <v>99</v>
      </c>
      <c r="C533" s="57" t="s">
        <v>554</v>
      </c>
      <c r="D533" s="16"/>
      <c r="E533" s="54" t="s">
        <v>511</v>
      </c>
      <c r="F533" s="94">
        <f>F534</f>
        <v>75</v>
      </c>
      <c r="G533" s="94">
        <f>G534</f>
        <v>75</v>
      </c>
      <c r="H533" s="94">
        <f>H534</f>
        <v>75</v>
      </c>
    </row>
    <row r="534" spans="1:10" s="20" customFormat="1" ht="15" x14ac:dyDescent="0.25">
      <c r="A534" s="16" t="s">
        <v>104</v>
      </c>
      <c r="B534" s="16" t="s">
        <v>99</v>
      </c>
      <c r="C534" s="57" t="s">
        <v>554</v>
      </c>
      <c r="D534" s="21" t="s">
        <v>225</v>
      </c>
      <c r="E534" s="98" t="s">
        <v>224</v>
      </c>
      <c r="F534" s="94">
        <v>75</v>
      </c>
      <c r="G534" s="94">
        <v>75</v>
      </c>
      <c r="H534" s="94">
        <v>75</v>
      </c>
    </row>
    <row r="535" spans="1:10" s="20" customFormat="1" ht="63.75" x14ac:dyDescent="0.25">
      <c r="A535" s="16" t="s">
        <v>104</v>
      </c>
      <c r="B535" s="16" t="s">
        <v>99</v>
      </c>
      <c r="C535" s="80">
        <v>140323020</v>
      </c>
      <c r="D535" s="82"/>
      <c r="E535" s="98" t="s">
        <v>133</v>
      </c>
      <c r="F535" s="41">
        <f>F536</f>
        <v>304.5</v>
      </c>
      <c r="G535" s="41">
        <f>G536</f>
        <v>297.60000000000002</v>
      </c>
      <c r="H535" s="41">
        <f>H536</f>
        <v>297.60000000000002</v>
      </c>
    </row>
    <row r="536" spans="1:10" s="20" customFormat="1" ht="38.25" x14ac:dyDescent="0.25">
      <c r="A536" s="16" t="s">
        <v>104</v>
      </c>
      <c r="B536" s="16" t="s">
        <v>99</v>
      </c>
      <c r="C536" s="80">
        <v>140323020</v>
      </c>
      <c r="D536" s="82" t="s">
        <v>211</v>
      </c>
      <c r="E536" s="98" t="s">
        <v>212</v>
      </c>
      <c r="F536" s="41">
        <f>297.6+6.9</f>
        <v>304.5</v>
      </c>
      <c r="G536" s="41">
        <v>297.60000000000002</v>
      </c>
      <c r="H536" s="41">
        <v>297.60000000000002</v>
      </c>
    </row>
    <row r="537" spans="1:10" s="20" customFormat="1" ht="90" customHeight="1" x14ac:dyDescent="0.25">
      <c r="A537" s="16" t="s">
        <v>104</v>
      </c>
      <c r="B537" s="16" t="s">
        <v>99</v>
      </c>
      <c r="C537" s="80">
        <v>140323025</v>
      </c>
      <c r="D537" s="82"/>
      <c r="E537" s="98" t="s">
        <v>740</v>
      </c>
      <c r="F537" s="41">
        <f>SUM(F538:F539)</f>
        <v>479.3</v>
      </c>
      <c r="G537" s="41">
        <f t="shared" ref="G537:H537" si="138">SUM(G538:G539)</f>
        <v>479.3</v>
      </c>
      <c r="H537" s="41">
        <f t="shared" si="138"/>
        <v>479.3</v>
      </c>
    </row>
    <row r="538" spans="1:10" s="20" customFormat="1" ht="38.25" x14ac:dyDescent="0.25">
      <c r="A538" s="16" t="s">
        <v>104</v>
      </c>
      <c r="B538" s="16" t="s">
        <v>99</v>
      </c>
      <c r="C538" s="80">
        <v>140323025</v>
      </c>
      <c r="D538" s="82" t="s">
        <v>211</v>
      </c>
      <c r="E538" s="98" t="s">
        <v>212</v>
      </c>
      <c r="F538" s="41">
        <v>444.3</v>
      </c>
      <c r="G538" s="41">
        <v>444.3</v>
      </c>
      <c r="H538" s="41">
        <v>444.3</v>
      </c>
    </row>
    <row r="539" spans="1:10" s="20" customFormat="1" ht="15" x14ac:dyDescent="0.25">
      <c r="A539" s="16" t="s">
        <v>104</v>
      </c>
      <c r="B539" s="16" t="s">
        <v>99</v>
      </c>
      <c r="C539" s="80">
        <v>140323025</v>
      </c>
      <c r="D539" s="82" t="s">
        <v>632</v>
      </c>
      <c r="E539" s="98" t="s">
        <v>633</v>
      </c>
      <c r="F539" s="41">
        <v>35</v>
      </c>
      <c r="G539" s="41">
        <v>35</v>
      </c>
      <c r="H539" s="41">
        <v>35</v>
      </c>
    </row>
    <row r="540" spans="1:10" s="20" customFormat="1" ht="63.75" x14ac:dyDescent="0.25">
      <c r="A540" s="16" t="s">
        <v>104</v>
      </c>
      <c r="B540" s="16" t="s">
        <v>99</v>
      </c>
      <c r="C540" s="80" t="s">
        <v>434</v>
      </c>
      <c r="D540" s="82"/>
      <c r="E540" s="98" t="s">
        <v>435</v>
      </c>
      <c r="F540" s="41">
        <f>F541</f>
        <v>153.19999999999999</v>
      </c>
      <c r="G540" s="41">
        <f>G541</f>
        <v>153.19999999999999</v>
      </c>
      <c r="H540" s="41">
        <f>H541</f>
        <v>153.19999999999999</v>
      </c>
    </row>
    <row r="541" spans="1:10" s="20" customFormat="1" ht="38.25" x14ac:dyDescent="0.25">
      <c r="A541" s="16" t="s">
        <v>104</v>
      </c>
      <c r="B541" s="16" t="s">
        <v>99</v>
      </c>
      <c r="C541" s="80" t="s">
        <v>434</v>
      </c>
      <c r="D541" s="82" t="s">
        <v>211</v>
      </c>
      <c r="E541" s="98" t="s">
        <v>212</v>
      </c>
      <c r="F541" s="41">
        <f>90+63.2</f>
        <v>153.19999999999999</v>
      </c>
      <c r="G541" s="41">
        <f>90+63.2</f>
        <v>153.19999999999999</v>
      </c>
      <c r="H541" s="41">
        <f>90+63.2</f>
        <v>153.19999999999999</v>
      </c>
      <c r="J541" s="163"/>
    </row>
    <row r="542" spans="1:10" s="36" customFormat="1" ht="38.25" x14ac:dyDescent="0.2">
      <c r="A542" s="16" t="s">
        <v>104</v>
      </c>
      <c r="B542" s="16" t="s">
        <v>99</v>
      </c>
      <c r="C542" s="80">
        <v>140311080</v>
      </c>
      <c r="D542" s="82"/>
      <c r="E542" s="98" t="s">
        <v>436</v>
      </c>
      <c r="F542" s="41">
        <f>F543</f>
        <v>150.80000000000001</v>
      </c>
      <c r="G542" s="41">
        <f>G543</f>
        <v>150.80000000000001</v>
      </c>
      <c r="H542" s="41">
        <f>H543</f>
        <v>150.80000000000001</v>
      </c>
    </row>
    <row r="543" spans="1:10" ht="38.25" x14ac:dyDescent="0.2">
      <c r="A543" s="16" t="s">
        <v>104</v>
      </c>
      <c r="B543" s="16" t="s">
        <v>99</v>
      </c>
      <c r="C543" s="80">
        <v>140311080</v>
      </c>
      <c r="D543" s="82" t="s">
        <v>211</v>
      </c>
      <c r="E543" s="98" t="s">
        <v>212</v>
      </c>
      <c r="F543" s="39">
        <v>150.80000000000001</v>
      </c>
      <c r="G543" s="39">
        <v>150.80000000000001</v>
      </c>
      <c r="H543" s="39">
        <v>150.80000000000001</v>
      </c>
    </row>
    <row r="544" spans="1:10" ht="63.75" x14ac:dyDescent="0.2">
      <c r="A544" s="16" t="s">
        <v>104</v>
      </c>
      <c r="B544" s="16" t="s">
        <v>99</v>
      </c>
      <c r="C544" s="21" t="s">
        <v>752</v>
      </c>
      <c r="D544" s="82"/>
      <c r="E544" s="130" t="s">
        <v>753</v>
      </c>
      <c r="F544" s="39">
        <f>F545</f>
        <v>50</v>
      </c>
      <c r="G544" s="39">
        <v>0</v>
      </c>
      <c r="H544" s="39">
        <v>0</v>
      </c>
    </row>
    <row r="545" spans="1:12" ht="38.25" x14ac:dyDescent="0.2">
      <c r="A545" s="16" t="s">
        <v>104</v>
      </c>
      <c r="B545" s="16" t="s">
        <v>99</v>
      </c>
      <c r="C545" s="21" t="s">
        <v>752</v>
      </c>
      <c r="D545" s="82" t="s">
        <v>211</v>
      </c>
      <c r="E545" s="98" t="s">
        <v>212</v>
      </c>
      <c r="F545" s="39">
        <v>50</v>
      </c>
      <c r="G545" s="39">
        <v>0</v>
      </c>
      <c r="H545" s="39">
        <v>0</v>
      </c>
    </row>
    <row r="546" spans="1:12" x14ac:dyDescent="0.2">
      <c r="A546" s="16" t="s">
        <v>104</v>
      </c>
      <c r="B546" s="16" t="s">
        <v>99</v>
      </c>
      <c r="C546" s="52" t="s">
        <v>76</v>
      </c>
      <c r="D546" s="16"/>
      <c r="E546" s="66" t="s">
        <v>46</v>
      </c>
      <c r="F546" s="93">
        <f>F547</f>
        <v>9055.9</v>
      </c>
      <c r="G546" s="93">
        <f>G547</f>
        <v>8745.1999999999989</v>
      </c>
      <c r="H546" s="93">
        <f>H547</f>
        <v>8745.1999999999989</v>
      </c>
    </row>
    <row r="547" spans="1:12" ht="63.75" x14ac:dyDescent="0.2">
      <c r="A547" s="16" t="s">
        <v>104</v>
      </c>
      <c r="B547" s="16" t="s">
        <v>99</v>
      </c>
      <c r="C547" s="80">
        <v>190022200</v>
      </c>
      <c r="D547" s="82"/>
      <c r="E547" s="98" t="s">
        <v>437</v>
      </c>
      <c r="F547" s="41">
        <f>SUM(F548:F550)</f>
        <v>9055.9</v>
      </c>
      <c r="G547" s="41">
        <f t="shared" ref="G547:H547" si="139">SUM(G548:G550)</f>
        <v>8745.1999999999989</v>
      </c>
      <c r="H547" s="41">
        <f t="shared" si="139"/>
        <v>8745.1999999999989</v>
      </c>
    </row>
    <row r="548" spans="1:12" ht="38.25" x14ac:dyDescent="0.2">
      <c r="A548" s="16" t="s">
        <v>104</v>
      </c>
      <c r="B548" s="16" t="s">
        <v>99</v>
      </c>
      <c r="C548" s="80">
        <v>190022200</v>
      </c>
      <c r="D548" s="16" t="s">
        <v>62</v>
      </c>
      <c r="E548" s="55" t="s">
        <v>63</v>
      </c>
      <c r="F548" s="41">
        <f>8258.3+301.7</f>
        <v>8560</v>
      </c>
      <c r="G548" s="41">
        <v>8258.2999999999993</v>
      </c>
      <c r="H548" s="41">
        <v>8258.2999999999993</v>
      </c>
    </row>
    <row r="549" spans="1:12" ht="38.25" x14ac:dyDescent="0.2">
      <c r="A549" s="16" t="s">
        <v>104</v>
      </c>
      <c r="B549" s="16" t="s">
        <v>99</v>
      </c>
      <c r="C549" s="80">
        <v>190022200</v>
      </c>
      <c r="D549" s="82" t="s">
        <v>211</v>
      </c>
      <c r="E549" s="98" t="s">
        <v>212</v>
      </c>
      <c r="F549" s="41">
        <v>486.9</v>
      </c>
      <c r="G549" s="41">
        <v>486.9</v>
      </c>
      <c r="H549" s="41">
        <v>486.9</v>
      </c>
    </row>
    <row r="550" spans="1:12" ht="38.25" x14ac:dyDescent="0.2">
      <c r="A550" s="16" t="s">
        <v>104</v>
      </c>
      <c r="B550" s="16" t="s">
        <v>99</v>
      </c>
      <c r="C550" s="80">
        <v>190022200</v>
      </c>
      <c r="D550" s="82" t="s">
        <v>260</v>
      </c>
      <c r="E550" s="98" t="s">
        <v>249</v>
      </c>
      <c r="F550" s="41">
        <v>9</v>
      </c>
      <c r="G550" s="41">
        <v>0</v>
      </c>
      <c r="H550" s="41">
        <v>0</v>
      </c>
    </row>
    <row r="551" spans="1:12" ht="15.75" x14ac:dyDescent="0.25">
      <c r="A551" s="4" t="s">
        <v>101</v>
      </c>
      <c r="B551" s="3"/>
      <c r="C551" s="3"/>
      <c r="D551" s="3"/>
      <c r="E551" s="49" t="s">
        <v>20</v>
      </c>
      <c r="F551" s="92">
        <f>F552+F584</f>
        <v>105711.1</v>
      </c>
      <c r="G551" s="92">
        <f>G552+G584</f>
        <v>82757.600000000006</v>
      </c>
      <c r="H551" s="92">
        <f>H552+H584</f>
        <v>83957.6</v>
      </c>
    </row>
    <row r="552" spans="1:12" s="37" customFormat="1" ht="14.25" x14ac:dyDescent="0.2">
      <c r="A552" s="35" t="s">
        <v>101</v>
      </c>
      <c r="B552" s="35" t="s">
        <v>88</v>
      </c>
      <c r="C552" s="35"/>
      <c r="D552" s="35"/>
      <c r="E552" s="45" t="s">
        <v>106</v>
      </c>
      <c r="F552" s="42">
        <f>F553+F579</f>
        <v>101472.5</v>
      </c>
      <c r="G552" s="42">
        <f>G553+G579</f>
        <v>78729.100000000006</v>
      </c>
      <c r="H552" s="42">
        <f>H553+H579</f>
        <v>79929.100000000006</v>
      </c>
    </row>
    <row r="553" spans="1:12" s="37" customFormat="1" ht="90" x14ac:dyDescent="0.25">
      <c r="A553" s="16" t="s">
        <v>101</v>
      </c>
      <c r="B553" s="16" t="s">
        <v>88</v>
      </c>
      <c r="C553" s="73" t="s">
        <v>59</v>
      </c>
      <c r="D553" s="35"/>
      <c r="E553" s="53" t="s">
        <v>572</v>
      </c>
      <c r="F553" s="65">
        <f t="shared" ref="F553:H553" si="140">F554</f>
        <v>101242.5</v>
      </c>
      <c r="G553" s="65">
        <f t="shared" si="140"/>
        <v>78729.100000000006</v>
      </c>
      <c r="H553" s="65">
        <f t="shared" si="140"/>
        <v>79929.100000000006</v>
      </c>
    </row>
    <row r="554" spans="1:12" s="37" customFormat="1" ht="25.5" x14ac:dyDescent="0.2">
      <c r="A554" s="16" t="s">
        <v>101</v>
      </c>
      <c r="B554" s="16" t="s">
        <v>88</v>
      </c>
      <c r="C554" s="21" t="s">
        <v>60</v>
      </c>
      <c r="D554" s="35"/>
      <c r="E554" s="48" t="s">
        <v>171</v>
      </c>
      <c r="F554" s="58">
        <f>F555+F559+F561+F564+F567+F569+F571+F573+F575+F577</f>
        <v>101242.5</v>
      </c>
      <c r="G554" s="58">
        <f t="shared" ref="G554:H554" si="141">G555+G559+G561+G564+G567+G569+G571+G573+G575+G577</f>
        <v>78729.100000000006</v>
      </c>
      <c r="H554" s="58">
        <f t="shared" si="141"/>
        <v>79929.100000000006</v>
      </c>
    </row>
    <row r="555" spans="1:12" s="37" customFormat="1" ht="27" customHeight="1" x14ac:dyDescent="0.2">
      <c r="A555" s="16" t="s">
        <v>101</v>
      </c>
      <c r="B555" s="16" t="s">
        <v>88</v>
      </c>
      <c r="C555" s="74">
        <v>210122900</v>
      </c>
      <c r="D555" s="16"/>
      <c r="E555" s="99" t="s">
        <v>170</v>
      </c>
      <c r="F555" s="39">
        <f>F556+F557+F558</f>
        <v>12425.1</v>
      </c>
      <c r="G555" s="39">
        <f t="shared" ref="G555:H555" si="142">G556+G557+G558</f>
        <v>11826</v>
      </c>
      <c r="H555" s="39">
        <f t="shared" si="142"/>
        <v>11826</v>
      </c>
    </row>
    <row r="556" spans="1:12" s="37" customFormat="1" ht="25.5" x14ac:dyDescent="0.2">
      <c r="A556" s="16" t="s">
        <v>101</v>
      </c>
      <c r="B556" s="16" t="s">
        <v>88</v>
      </c>
      <c r="C556" s="74">
        <v>210122900</v>
      </c>
      <c r="D556" s="82" t="s">
        <v>64</v>
      </c>
      <c r="E556" s="55" t="s">
        <v>130</v>
      </c>
      <c r="F556" s="39">
        <f>5295.8-160.5-13.7</f>
        <v>5121.6000000000004</v>
      </c>
      <c r="G556" s="39">
        <f>5295.8-13.7</f>
        <v>5282.1</v>
      </c>
      <c r="H556" s="39">
        <f>5295.8-13.7</f>
        <v>5282.1</v>
      </c>
      <c r="J556" s="149"/>
    </row>
    <row r="557" spans="1:12" s="37" customFormat="1" ht="38.25" x14ac:dyDescent="0.2">
      <c r="A557" s="16" t="s">
        <v>101</v>
      </c>
      <c r="B557" s="16" t="s">
        <v>88</v>
      </c>
      <c r="C557" s="74">
        <v>210122900</v>
      </c>
      <c r="D557" s="82" t="s">
        <v>211</v>
      </c>
      <c r="E557" s="98" t="s">
        <v>212</v>
      </c>
      <c r="F557" s="39">
        <f>6543.9-13.4-1+612.5+1</f>
        <v>7143</v>
      </c>
      <c r="G557" s="39">
        <v>6543.9</v>
      </c>
      <c r="H557" s="39">
        <v>6543.9</v>
      </c>
    </row>
    <row r="558" spans="1:12" s="37" customFormat="1" ht="38.25" x14ac:dyDescent="0.2">
      <c r="A558" s="16" t="s">
        <v>101</v>
      </c>
      <c r="B558" s="16" t="s">
        <v>88</v>
      </c>
      <c r="C558" s="74">
        <v>210122900</v>
      </c>
      <c r="D558" s="82" t="s">
        <v>260</v>
      </c>
      <c r="E558" s="98" t="s">
        <v>249</v>
      </c>
      <c r="F558" s="39">
        <v>160.5</v>
      </c>
      <c r="G558" s="39">
        <v>0</v>
      </c>
      <c r="H558" s="39">
        <v>0</v>
      </c>
    </row>
    <row r="559" spans="1:12" s="37" customFormat="1" ht="51" x14ac:dyDescent="0.2">
      <c r="A559" s="16" t="s">
        <v>101</v>
      </c>
      <c r="B559" s="16" t="s">
        <v>88</v>
      </c>
      <c r="C559" s="74">
        <v>210121100</v>
      </c>
      <c r="D559" s="16"/>
      <c r="E559" s="99" t="s">
        <v>172</v>
      </c>
      <c r="F559" s="39">
        <f>F560</f>
        <v>34927.299999999996</v>
      </c>
      <c r="G559" s="39">
        <f>G560</f>
        <v>31173.600000000002</v>
      </c>
      <c r="H559" s="39">
        <f>H560</f>
        <v>32373.600000000002</v>
      </c>
      <c r="J559" s="149"/>
      <c r="K559" s="149"/>
      <c r="L559" s="149"/>
    </row>
    <row r="560" spans="1:12" s="37" customFormat="1" ht="14.25" x14ac:dyDescent="0.2">
      <c r="A560" s="16" t="s">
        <v>101</v>
      </c>
      <c r="B560" s="16" t="s">
        <v>88</v>
      </c>
      <c r="C560" s="74">
        <v>210121100</v>
      </c>
      <c r="D560" s="21" t="s">
        <v>225</v>
      </c>
      <c r="E560" s="98" t="s">
        <v>224</v>
      </c>
      <c r="F560" s="39">
        <f>34169.2+1174.4-1000-16.3+600</f>
        <v>34927.299999999996</v>
      </c>
      <c r="G560" s="1">
        <f>31189.9-16.3</f>
        <v>31173.600000000002</v>
      </c>
      <c r="H560" s="1">
        <f>32389.9-16.3</f>
        <v>32373.600000000002</v>
      </c>
    </row>
    <row r="561" spans="1:10" s="37" customFormat="1" ht="51" x14ac:dyDescent="0.2">
      <c r="A561" s="16" t="s">
        <v>101</v>
      </c>
      <c r="B561" s="16" t="s">
        <v>88</v>
      </c>
      <c r="C561" s="74" t="s">
        <v>438</v>
      </c>
      <c r="D561" s="82"/>
      <c r="E561" s="98" t="s">
        <v>313</v>
      </c>
      <c r="F561" s="39">
        <f>SUM(F562:F563)</f>
        <v>357</v>
      </c>
      <c r="G561" s="39">
        <f>SUM(G562:G563)</f>
        <v>357</v>
      </c>
      <c r="H561" s="39">
        <f>SUM(H562:H563)</f>
        <v>357</v>
      </c>
      <c r="J561" s="149"/>
    </row>
    <row r="562" spans="1:10" s="37" customFormat="1" ht="25.5" x14ac:dyDescent="0.2">
      <c r="A562" s="16" t="s">
        <v>101</v>
      </c>
      <c r="B562" s="16" t="s">
        <v>88</v>
      </c>
      <c r="C562" s="74" t="s">
        <v>438</v>
      </c>
      <c r="D562" s="82" t="s">
        <v>64</v>
      </c>
      <c r="E562" s="55" t="s">
        <v>130</v>
      </c>
      <c r="F562" s="39">
        <f>95+13.7</f>
        <v>108.7</v>
      </c>
      <c r="G562" s="39">
        <f t="shared" ref="G562:H562" si="143">95+13.7</f>
        <v>108.7</v>
      </c>
      <c r="H562" s="39">
        <f t="shared" si="143"/>
        <v>108.7</v>
      </c>
    </row>
    <row r="563" spans="1:10" s="37" customFormat="1" ht="14.25" x14ac:dyDescent="0.2">
      <c r="A563" s="16" t="s">
        <v>101</v>
      </c>
      <c r="B563" s="16" t="s">
        <v>88</v>
      </c>
      <c r="C563" s="74" t="s">
        <v>438</v>
      </c>
      <c r="D563" s="21" t="s">
        <v>225</v>
      </c>
      <c r="E563" s="98" t="s">
        <v>224</v>
      </c>
      <c r="F563" s="39">
        <f>232+16.3</f>
        <v>248.3</v>
      </c>
      <c r="G563" s="39">
        <f t="shared" ref="G563:H563" si="144">232+16.3</f>
        <v>248.3</v>
      </c>
      <c r="H563" s="39">
        <f t="shared" si="144"/>
        <v>248.3</v>
      </c>
    </row>
    <row r="564" spans="1:10" s="37" customFormat="1" ht="51" x14ac:dyDescent="0.2">
      <c r="A564" s="16" t="s">
        <v>101</v>
      </c>
      <c r="B564" s="16" t="s">
        <v>88</v>
      </c>
      <c r="C564" s="74">
        <v>210110680</v>
      </c>
      <c r="D564" s="82"/>
      <c r="E564" s="98" t="s">
        <v>351</v>
      </c>
      <c r="F564" s="39">
        <f>SUM(F565:F566)</f>
        <v>35336.5</v>
      </c>
      <c r="G564" s="39">
        <f t="shared" ref="G564:H564" si="145">SUM(G565:G566)</f>
        <v>35336.5</v>
      </c>
      <c r="H564" s="39">
        <f t="shared" si="145"/>
        <v>35336.5</v>
      </c>
      <c r="J564" s="149"/>
    </row>
    <row r="565" spans="1:10" s="37" customFormat="1" ht="25.5" x14ac:dyDescent="0.2">
      <c r="A565" s="16" t="s">
        <v>101</v>
      </c>
      <c r="B565" s="16" t="s">
        <v>88</v>
      </c>
      <c r="C565" s="74">
        <v>210110680</v>
      </c>
      <c r="D565" s="82" t="s">
        <v>64</v>
      </c>
      <c r="E565" s="55" t="s">
        <v>130</v>
      </c>
      <c r="F565" s="39">
        <f>9388.4+1377.5</f>
        <v>10765.9</v>
      </c>
      <c r="G565" s="39">
        <f t="shared" ref="G565:H565" si="146">9388.4+1377.5</f>
        <v>10765.9</v>
      </c>
      <c r="H565" s="39">
        <f t="shared" si="146"/>
        <v>10765.9</v>
      </c>
    </row>
    <row r="566" spans="1:10" s="37" customFormat="1" ht="14.25" x14ac:dyDescent="0.2">
      <c r="A566" s="16" t="s">
        <v>101</v>
      </c>
      <c r="B566" s="16" t="s">
        <v>88</v>
      </c>
      <c r="C566" s="74">
        <v>210110680</v>
      </c>
      <c r="D566" s="21" t="s">
        <v>225</v>
      </c>
      <c r="E566" s="98" t="s">
        <v>224</v>
      </c>
      <c r="F566" s="39">
        <f>22918.8+1651.8</f>
        <v>24570.6</v>
      </c>
      <c r="G566" s="39">
        <f t="shared" ref="G566:H566" si="147">22918.8+1651.8</f>
        <v>24570.6</v>
      </c>
      <c r="H566" s="39">
        <f t="shared" si="147"/>
        <v>24570.6</v>
      </c>
    </row>
    <row r="567" spans="1:10" s="37" customFormat="1" ht="78" customHeight="1" x14ac:dyDescent="0.2">
      <c r="A567" s="16" t="s">
        <v>101</v>
      </c>
      <c r="B567" s="16" t="s">
        <v>88</v>
      </c>
      <c r="C567" s="74" t="s">
        <v>746</v>
      </c>
      <c r="D567" s="21"/>
      <c r="E567" s="172" t="s">
        <v>747</v>
      </c>
      <c r="F567" s="39">
        <f>F568</f>
        <v>113.4</v>
      </c>
      <c r="G567" s="39">
        <v>0</v>
      </c>
      <c r="H567" s="39">
        <v>0</v>
      </c>
    </row>
    <row r="568" spans="1:10" s="37" customFormat="1" ht="38.25" x14ac:dyDescent="0.2">
      <c r="A568" s="16" t="s">
        <v>101</v>
      </c>
      <c r="B568" s="16" t="s">
        <v>88</v>
      </c>
      <c r="C568" s="74" t="s">
        <v>746</v>
      </c>
      <c r="D568" s="21" t="s">
        <v>211</v>
      </c>
      <c r="E568" s="98" t="s">
        <v>212</v>
      </c>
      <c r="F568" s="39">
        <f>13.4+100</f>
        <v>113.4</v>
      </c>
      <c r="G568" s="39">
        <v>0</v>
      </c>
      <c r="H568" s="39">
        <v>0</v>
      </c>
    </row>
    <row r="569" spans="1:10" s="37" customFormat="1" ht="51" x14ac:dyDescent="0.2">
      <c r="A569" s="16" t="s">
        <v>101</v>
      </c>
      <c r="B569" s="16" t="s">
        <v>88</v>
      </c>
      <c r="C569" s="125" t="s">
        <v>441</v>
      </c>
      <c r="D569" s="82"/>
      <c r="E569" s="130" t="s">
        <v>366</v>
      </c>
      <c r="F569" s="39">
        <f>F570</f>
        <v>192.1</v>
      </c>
      <c r="G569" s="39">
        <f>G570</f>
        <v>35</v>
      </c>
      <c r="H569" s="39">
        <f>H570</f>
        <v>35</v>
      </c>
    </row>
    <row r="570" spans="1:10" s="37" customFormat="1" ht="14.25" x14ac:dyDescent="0.2">
      <c r="A570" s="16" t="s">
        <v>101</v>
      </c>
      <c r="B570" s="16" t="s">
        <v>88</v>
      </c>
      <c r="C570" s="125" t="s">
        <v>441</v>
      </c>
      <c r="D570" s="21" t="s">
        <v>225</v>
      </c>
      <c r="E570" s="98" t="s">
        <v>224</v>
      </c>
      <c r="F570" s="39">
        <f>4+188.1</f>
        <v>192.1</v>
      </c>
      <c r="G570" s="39">
        <v>35</v>
      </c>
      <c r="H570" s="39">
        <v>35</v>
      </c>
    </row>
    <row r="571" spans="1:10" s="37" customFormat="1" ht="51" x14ac:dyDescent="0.2">
      <c r="A571" s="16" t="s">
        <v>101</v>
      </c>
      <c r="B571" s="16" t="s">
        <v>88</v>
      </c>
      <c r="C571" s="133" t="s">
        <v>723</v>
      </c>
      <c r="D571" s="21"/>
      <c r="E571" s="98" t="s">
        <v>724</v>
      </c>
      <c r="F571" s="39">
        <f>F572</f>
        <v>5181.7999999999993</v>
      </c>
      <c r="G571" s="39">
        <f>G572</f>
        <v>0</v>
      </c>
      <c r="H571" s="39">
        <f>H572</f>
        <v>0</v>
      </c>
    </row>
    <row r="572" spans="1:10" s="37" customFormat="1" ht="14.25" x14ac:dyDescent="0.2">
      <c r="A572" s="16" t="s">
        <v>101</v>
      </c>
      <c r="B572" s="16" t="s">
        <v>88</v>
      </c>
      <c r="C572" s="133" t="s">
        <v>723</v>
      </c>
      <c r="D572" s="21" t="s">
        <v>225</v>
      </c>
      <c r="E572" s="98" t="s">
        <v>224</v>
      </c>
      <c r="F572" s="39">
        <f>192+2060.1+2929.7</f>
        <v>5181.7999999999993</v>
      </c>
      <c r="G572" s="39">
        <v>0</v>
      </c>
      <c r="H572" s="39">
        <v>0</v>
      </c>
    </row>
    <row r="573" spans="1:10" s="37" customFormat="1" ht="38.25" x14ac:dyDescent="0.2">
      <c r="A573" s="16" t="s">
        <v>101</v>
      </c>
      <c r="B573" s="16" t="s">
        <v>88</v>
      </c>
      <c r="C573" s="162" t="s">
        <v>759</v>
      </c>
      <c r="D573" s="82"/>
      <c r="E573" s="124" t="s">
        <v>756</v>
      </c>
      <c r="F573" s="39">
        <f>F574</f>
        <v>200</v>
      </c>
      <c r="G573" s="39">
        <f t="shared" ref="G573:H573" si="148">G574</f>
        <v>0</v>
      </c>
      <c r="H573" s="39">
        <f t="shared" si="148"/>
        <v>0</v>
      </c>
    </row>
    <row r="574" spans="1:10" s="37" customFormat="1" ht="14.25" x14ac:dyDescent="0.2">
      <c r="A574" s="16" t="s">
        <v>101</v>
      </c>
      <c r="B574" s="16" t="s">
        <v>88</v>
      </c>
      <c r="C574" s="162" t="s">
        <v>759</v>
      </c>
      <c r="D574" s="21" t="s">
        <v>225</v>
      </c>
      <c r="E574" s="98" t="s">
        <v>224</v>
      </c>
      <c r="F574" s="39">
        <v>200</v>
      </c>
      <c r="G574" s="39">
        <v>0</v>
      </c>
      <c r="H574" s="39">
        <v>0</v>
      </c>
    </row>
    <row r="575" spans="1:10" s="37" customFormat="1" ht="25.5" x14ac:dyDescent="0.2">
      <c r="A575" s="16" t="s">
        <v>101</v>
      </c>
      <c r="B575" s="16" t="s">
        <v>88</v>
      </c>
      <c r="C575" s="125" t="s">
        <v>671</v>
      </c>
      <c r="D575" s="21"/>
      <c r="E575" s="124" t="s">
        <v>672</v>
      </c>
      <c r="F575" s="39">
        <f>F576</f>
        <v>12509.300000000001</v>
      </c>
      <c r="G575" s="39">
        <f t="shared" ref="G575:H575" si="149">G576</f>
        <v>0</v>
      </c>
      <c r="H575" s="39">
        <f t="shared" si="149"/>
        <v>0</v>
      </c>
    </row>
    <row r="576" spans="1:10" s="37" customFormat="1" ht="14.25" x14ac:dyDescent="0.2">
      <c r="A576" s="16" t="s">
        <v>101</v>
      </c>
      <c r="B576" s="16" t="s">
        <v>88</v>
      </c>
      <c r="C576" s="125" t="s">
        <v>671</v>
      </c>
      <c r="D576" s="21" t="s">
        <v>225</v>
      </c>
      <c r="E576" s="98" t="s">
        <v>224</v>
      </c>
      <c r="F576" s="39">
        <f>125.1+12384.2</f>
        <v>12509.300000000001</v>
      </c>
      <c r="G576" s="39">
        <v>0</v>
      </c>
      <c r="H576" s="39">
        <v>0</v>
      </c>
    </row>
    <row r="577" spans="1:8" s="154" customFormat="1" ht="63.75" x14ac:dyDescent="0.2">
      <c r="A577" s="150" t="s">
        <v>101</v>
      </c>
      <c r="B577" s="150" t="s">
        <v>88</v>
      </c>
      <c r="C577" s="151" t="s">
        <v>445</v>
      </c>
      <c r="D577" s="152"/>
      <c r="E577" s="153" t="s">
        <v>444</v>
      </c>
      <c r="F577" s="39">
        <f>F578</f>
        <v>0</v>
      </c>
      <c r="G577" s="39">
        <f t="shared" ref="G577:H577" si="150">G578</f>
        <v>1</v>
      </c>
      <c r="H577" s="39">
        <f t="shared" si="150"/>
        <v>1</v>
      </c>
    </row>
    <row r="578" spans="1:8" s="37" customFormat="1" ht="14.25" x14ac:dyDescent="0.2">
      <c r="A578" s="16" t="s">
        <v>101</v>
      </c>
      <c r="B578" s="16" t="s">
        <v>88</v>
      </c>
      <c r="C578" s="133" t="s">
        <v>445</v>
      </c>
      <c r="D578" s="21" t="s">
        <v>225</v>
      </c>
      <c r="E578" s="98" t="s">
        <v>224</v>
      </c>
      <c r="F578" s="39">
        <f>1-1</f>
        <v>0</v>
      </c>
      <c r="G578" s="39">
        <v>1</v>
      </c>
      <c r="H578" s="39">
        <v>1</v>
      </c>
    </row>
    <row r="579" spans="1:8" s="37" customFormat="1" ht="38.25" x14ac:dyDescent="0.2">
      <c r="A579" s="16" t="s">
        <v>101</v>
      </c>
      <c r="B579" s="16" t="s">
        <v>88</v>
      </c>
      <c r="C579" s="82" t="s">
        <v>24</v>
      </c>
      <c r="D579" s="82"/>
      <c r="E579" s="99" t="s">
        <v>38</v>
      </c>
      <c r="F579" s="41">
        <f>F580+F582</f>
        <v>230</v>
      </c>
      <c r="G579" s="41">
        <f t="shared" ref="G579:H579" si="151">G580</f>
        <v>0</v>
      </c>
      <c r="H579" s="41">
        <f t="shared" si="151"/>
        <v>0</v>
      </c>
    </row>
    <row r="580" spans="1:8" s="37" customFormat="1" ht="51.75" customHeight="1" x14ac:dyDescent="0.2">
      <c r="A580" s="16" t="s">
        <v>101</v>
      </c>
      <c r="B580" s="16" t="s">
        <v>88</v>
      </c>
      <c r="C580" s="82" t="s">
        <v>568</v>
      </c>
      <c r="D580" s="16"/>
      <c r="E580" s="54" t="s">
        <v>570</v>
      </c>
      <c r="F580" s="41">
        <f>SUM(F581:F581)</f>
        <v>50</v>
      </c>
      <c r="G580" s="41">
        <f>SUM(G581:G581)</f>
        <v>0</v>
      </c>
      <c r="H580" s="41">
        <f>SUM(H581:H581)</f>
        <v>0</v>
      </c>
    </row>
    <row r="581" spans="1:8" s="37" customFormat="1" ht="14.25" x14ac:dyDescent="0.2">
      <c r="A581" s="16" t="s">
        <v>101</v>
      </c>
      <c r="B581" s="16" t="s">
        <v>88</v>
      </c>
      <c r="C581" s="82" t="s">
        <v>568</v>
      </c>
      <c r="D581" s="21" t="s">
        <v>225</v>
      </c>
      <c r="E581" s="98" t="s">
        <v>224</v>
      </c>
      <c r="F581" s="39">
        <v>50</v>
      </c>
      <c r="G581" s="39">
        <v>0</v>
      </c>
      <c r="H581" s="39">
        <v>0</v>
      </c>
    </row>
    <row r="582" spans="1:8" s="37" customFormat="1" ht="51" x14ac:dyDescent="0.2">
      <c r="A582" s="16" t="s">
        <v>101</v>
      </c>
      <c r="B582" s="16" t="s">
        <v>88</v>
      </c>
      <c r="C582" s="82" t="s">
        <v>567</v>
      </c>
      <c r="D582" s="21"/>
      <c r="E582" s="54" t="s">
        <v>566</v>
      </c>
      <c r="F582" s="39">
        <f>F583</f>
        <v>180</v>
      </c>
      <c r="G582" s="39">
        <f t="shared" ref="G582:H582" si="152">G583</f>
        <v>0</v>
      </c>
      <c r="H582" s="39">
        <f t="shared" si="152"/>
        <v>0</v>
      </c>
    </row>
    <row r="583" spans="1:8" s="37" customFormat="1" ht="38.25" x14ac:dyDescent="0.2">
      <c r="A583" s="16" t="s">
        <v>101</v>
      </c>
      <c r="B583" s="16" t="s">
        <v>88</v>
      </c>
      <c r="C583" s="82" t="s">
        <v>567</v>
      </c>
      <c r="D583" s="82" t="s">
        <v>211</v>
      </c>
      <c r="E583" s="98" t="s">
        <v>212</v>
      </c>
      <c r="F583" s="39">
        <v>180</v>
      </c>
      <c r="G583" s="39">
        <v>0</v>
      </c>
      <c r="H583" s="39">
        <v>0</v>
      </c>
    </row>
    <row r="584" spans="1:8" ht="25.5" x14ac:dyDescent="0.2">
      <c r="A584" s="35" t="s">
        <v>101</v>
      </c>
      <c r="B584" s="35" t="s">
        <v>94</v>
      </c>
      <c r="C584" s="35"/>
      <c r="D584" s="35"/>
      <c r="E584" s="46" t="s">
        <v>7</v>
      </c>
      <c r="F584" s="42">
        <f>F585</f>
        <v>4238.6000000000004</v>
      </c>
      <c r="G584" s="42">
        <f t="shared" ref="G584:H584" si="153">G585</f>
        <v>4028.5</v>
      </c>
      <c r="H584" s="42">
        <f t="shared" si="153"/>
        <v>4028.5</v>
      </c>
    </row>
    <row r="585" spans="1:8" ht="90" x14ac:dyDescent="0.25">
      <c r="A585" s="5" t="s">
        <v>101</v>
      </c>
      <c r="B585" s="5" t="s">
        <v>94</v>
      </c>
      <c r="C585" s="73" t="s">
        <v>59</v>
      </c>
      <c r="D585" s="35"/>
      <c r="E585" s="53" t="s">
        <v>572</v>
      </c>
      <c r="F585" s="65">
        <f>F586+F591</f>
        <v>4238.6000000000004</v>
      </c>
      <c r="G585" s="65">
        <f>G586+G591</f>
        <v>4028.5</v>
      </c>
      <c r="H585" s="65">
        <f>H586+H591</f>
        <v>4028.5</v>
      </c>
    </row>
    <row r="586" spans="1:8" ht="25.5" x14ac:dyDescent="0.2">
      <c r="A586" s="16" t="s">
        <v>101</v>
      </c>
      <c r="B586" s="16" t="s">
        <v>94</v>
      </c>
      <c r="C586" s="21" t="s">
        <v>60</v>
      </c>
      <c r="D586" s="35"/>
      <c r="E586" s="48" t="s">
        <v>171</v>
      </c>
      <c r="F586" s="42">
        <f>F587+F589</f>
        <v>674</v>
      </c>
      <c r="G586" s="42">
        <f t="shared" ref="G586:H586" si="154">G587</f>
        <v>574</v>
      </c>
      <c r="H586" s="42">
        <f t="shared" si="154"/>
        <v>574</v>
      </c>
    </row>
    <row r="587" spans="1:8" ht="51" x14ac:dyDescent="0.2">
      <c r="A587" s="16" t="s">
        <v>101</v>
      </c>
      <c r="B587" s="16" t="s">
        <v>94</v>
      </c>
      <c r="C587" s="21" t="s">
        <v>447</v>
      </c>
      <c r="D587" s="16"/>
      <c r="E587" s="98" t="s">
        <v>174</v>
      </c>
      <c r="F587" s="41">
        <f t="shared" ref="F587:H587" si="155">F588</f>
        <v>574</v>
      </c>
      <c r="G587" s="41">
        <f t="shared" si="155"/>
        <v>574</v>
      </c>
      <c r="H587" s="41">
        <f t="shared" si="155"/>
        <v>574</v>
      </c>
    </row>
    <row r="588" spans="1:8" ht="38.25" x14ac:dyDescent="0.2">
      <c r="A588" s="16" t="s">
        <v>101</v>
      </c>
      <c r="B588" s="16" t="s">
        <v>94</v>
      </c>
      <c r="C588" s="21" t="s">
        <v>447</v>
      </c>
      <c r="D588" s="82" t="s">
        <v>211</v>
      </c>
      <c r="E588" s="98" t="s">
        <v>212</v>
      </c>
      <c r="F588" s="41">
        <v>574</v>
      </c>
      <c r="G588" s="41">
        <v>574</v>
      </c>
      <c r="H588" s="41">
        <v>574</v>
      </c>
    </row>
    <row r="589" spans="1:8" ht="25.5" x14ac:dyDescent="0.2">
      <c r="A589" s="16" t="s">
        <v>101</v>
      </c>
      <c r="B589" s="16" t="s">
        <v>94</v>
      </c>
      <c r="C589" s="21" t="s">
        <v>757</v>
      </c>
      <c r="D589" s="82"/>
      <c r="E589" s="108" t="s">
        <v>758</v>
      </c>
      <c r="F589" s="41">
        <f>F590</f>
        <v>100</v>
      </c>
      <c r="G589" s="41">
        <f t="shared" ref="G589:H589" si="156">G590</f>
        <v>0</v>
      </c>
      <c r="H589" s="41">
        <f t="shared" si="156"/>
        <v>0</v>
      </c>
    </row>
    <row r="590" spans="1:8" ht="38.25" x14ac:dyDescent="0.2">
      <c r="A590" s="16" t="s">
        <v>101</v>
      </c>
      <c r="B590" s="16" t="s">
        <v>94</v>
      </c>
      <c r="C590" s="175" t="s">
        <v>757</v>
      </c>
      <c r="D590" s="82" t="s">
        <v>211</v>
      </c>
      <c r="E590" s="98" t="s">
        <v>212</v>
      </c>
      <c r="F590" s="41">
        <v>100</v>
      </c>
      <c r="G590" s="41">
        <v>0</v>
      </c>
      <c r="H590" s="41">
        <v>0</v>
      </c>
    </row>
    <row r="591" spans="1:8" x14ac:dyDescent="0.2">
      <c r="A591" s="16" t="s">
        <v>101</v>
      </c>
      <c r="B591" s="16" t="s">
        <v>94</v>
      </c>
      <c r="C591" s="52" t="s">
        <v>31</v>
      </c>
      <c r="D591" s="21"/>
      <c r="E591" s="66" t="s">
        <v>46</v>
      </c>
      <c r="F591" s="58">
        <f>F592</f>
        <v>3564.6</v>
      </c>
      <c r="G591" s="58">
        <f t="shared" ref="G591:H591" si="157">G592</f>
        <v>3454.5</v>
      </c>
      <c r="H591" s="58">
        <f t="shared" si="157"/>
        <v>3454.5</v>
      </c>
    </row>
    <row r="592" spans="1:8" ht="65.25" customHeight="1" x14ac:dyDescent="0.2">
      <c r="A592" s="16" t="s">
        <v>101</v>
      </c>
      <c r="B592" s="16" t="s">
        <v>94</v>
      </c>
      <c r="C592" s="80">
        <v>290022200</v>
      </c>
      <c r="D592" s="21"/>
      <c r="E592" s="98" t="s">
        <v>261</v>
      </c>
      <c r="F592" s="94">
        <f>SUM(F593:F595)</f>
        <v>3564.6</v>
      </c>
      <c r="G592" s="94">
        <f>SUM(G593:G594)</f>
        <v>3454.5</v>
      </c>
      <c r="H592" s="94">
        <f>SUM(H593:H594)</f>
        <v>3454.5</v>
      </c>
    </row>
    <row r="593" spans="1:8" ht="38.25" x14ac:dyDescent="0.2">
      <c r="A593" s="16" t="s">
        <v>101</v>
      </c>
      <c r="B593" s="16" t="s">
        <v>94</v>
      </c>
      <c r="C593" s="80">
        <v>290022200</v>
      </c>
      <c r="D593" s="16" t="s">
        <v>62</v>
      </c>
      <c r="E593" s="55" t="s">
        <v>63</v>
      </c>
      <c r="F593" s="94">
        <f>3380.7+110.1-55</f>
        <v>3435.7999999999997</v>
      </c>
      <c r="G593" s="94">
        <v>3380.7</v>
      </c>
      <c r="H593" s="94">
        <v>3380.7</v>
      </c>
    </row>
    <row r="594" spans="1:8" ht="38.25" x14ac:dyDescent="0.2">
      <c r="A594" s="16" t="s">
        <v>101</v>
      </c>
      <c r="B594" s="16" t="s">
        <v>94</v>
      </c>
      <c r="C594" s="80">
        <v>290022200</v>
      </c>
      <c r="D594" s="82" t="s">
        <v>211</v>
      </c>
      <c r="E594" s="98" t="s">
        <v>212</v>
      </c>
      <c r="F594" s="41">
        <v>73.8</v>
      </c>
      <c r="G594" s="41">
        <v>73.8</v>
      </c>
      <c r="H594" s="41">
        <v>73.8</v>
      </c>
    </row>
    <row r="595" spans="1:8" ht="38.25" x14ac:dyDescent="0.2">
      <c r="A595" s="16" t="s">
        <v>101</v>
      </c>
      <c r="B595" s="16" t="s">
        <v>94</v>
      </c>
      <c r="C595" s="80">
        <v>290022200</v>
      </c>
      <c r="D595" s="82" t="s">
        <v>260</v>
      </c>
      <c r="E595" s="98" t="s">
        <v>249</v>
      </c>
      <c r="F595" s="41">
        <v>55</v>
      </c>
      <c r="G595" s="41">
        <v>0</v>
      </c>
      <c r="H595" s="41">
        <v>0</v>
      </c>
    </row>
    <row r="596" spans="1:8" ht="15.75" x14ac:dyDescent="0.25">
      <c r="A596" s="4" t="s">
        <v>110</v>
      </c>
      <c r="B596" s="3"/>
      <c r="C596" s="3"/>
      <c r="D596" s="3"/>
      <c r="E596" s="49" t="s">
        <v>111</v>
      </c>
      <c r="F596" s="96">
        <f>F597+F602+F615</f>
        <v>40301.5</v>
      </c>
      <c r="G596" s="96">
        <f>G597+G602+G615</f>
        <v>22431.1</v>
      </c>
      <c r="H596" s="96">
        <f>H597+H602+H615</f>
        <v>24288.199999999997</v>
      </c>
    </row>
    <row r="597" spans="1:8" s="37" customFormat="1" ht="14.25" x14ac:dyDescent="0.2">
      <c r="A597" s="35" t="s">
        <v>110</v>
      </c>
      <c r="B597" s="35" t="s">
        <v>88</v>
      </c>
      <c r="C597" s="35"/>
      <c r="D597" s="35"/>
      <c r="E597" s="45" t="s">
        <v>112</v>
      </c>
      <c r="F597" s="42">
        <f t="shared" ref="F597:H600" si="158">F598</f>
        <v>2338.3000000000002</v>
      </c>
      <c r="G597" s="42">
        <f t="shared" si="158"/>
        <v>2338.3000000000002</v>
      </c>
      <c r="H597" s="42">
        <f t="shared" si="158"/>
        <v>2338.3000000000002</v>
      </c>
    </row>
    <row r="598" spans="1:8" ht="90" x14ac:dyDescent="0.25">
      <c r="A598" s="5" t="s">
        <v>110</v>
      </c>
      <c r="B598" s="5" t="s">
        <v>88</v>
      </c>
      <c r="C598" s="73" t="s">
        <v>35</v>
      </c>
      <c r="D598" s="3"/>
      <c r="E598" s="141" t="s">
        <v>585</v>
      </c>
      <c r="F598" s="96">
        <f t="shared" si="158"/>
        <v>2338.3000000000002</v>
      </c>
      <c r="G598" s="96">
        <f t="shared" si="158"/>
        <v>2338.3000000000002</v>
      </c>
      <c r="H598" s="96">
        <f t="shared" si="158"/>
        <v>2338.3000000000002</v>
      </c>
    </row>
    <row r="599" spans="1:8" ht="26.25" x14ac:dyDescent="0.25">
      <c r="A599" s="16" t="s">
        <v>110</v>
      </c>
      <c r="B599" s="16" t="s">
        <v>88</v>
      </c>
      <c r="C599" s="52" t="s">
        <v>37</v>
      </c>
      <c r="D599" s="3"/>
      <c r="E599" s="46" t="s">
        <v>80</v>
      </c>
      <c r="F599" s="93">
        <f t="shared" si="158"/>
        <v>2338.3000000000002</v>
      </c>
      <c r="G599" s="93">
        <f t="shared" si="158"/>
        <v>2338.3000000000002</v>
      </c>
      <c r="H599" s="93">
        <f t="shared" si="158"/>
        <v>2338.3000000000002</v>
      </c>
    </row>
    <row r="600" spans="1:8" ht="26.25" x14ac:dyDescent="0.25">
      <c r="A600" s="16" t="s">
        <v>110</v>
      </c>
      <c r="B600" s="16" t="s">
        <v>88</v>
      </c>
      <c r="C600" s="79">
        <v>1320225100</v>
      </c>
      <c r="D600" s="3"/>
      <c r="E600" s="99" t="s">
        <v>362</v>
      </c>
      <c r="F600" s="41">
        <f t="shared" si="158"/>
        <v>2338.3000000000002</v>
      </c>
      <c r="G600" s="41">
        <f t="shared" si="158"/>
        <v>2338.3000000000002</v>
      </c>
      <c r="H600" s="41">
        <f t="shared" si="158"/>
        <v>2338.3000000000002</v>
      </c>
    </row>
    <row r="601" spans="1:8" ht="25.5" x14ac:dyDescent="0.2">
      <c r="A601" s="16" t="s">
        <v>110</v>
      </c>
      <c r="B601" s="16" t="s">
        <v>88</v>
      </c>
      <c r="C601" s="79">
        <v>1320225100</v>
      </c>
      <c r="D601" s="82" t="s">
        <v>279</v>
      </c>
      <c r="E601" s="98" t="s">
        <v>280</v>
      </c>
      <c r="F601" s="39">
        <v>2338.3000000000002</v>
      </c>
      <c r="G601" s="39">
        <v>2338.3000000000002</v>
      </c>
      <c r="H601" s="39">
        <v>2338.3000000000002</v>
      </c>
    </row>
    <row r="602" spans="1:8" s="37" customFormat="1" ht="14.25" x14ac:dyDescent="0.2">
      <c r="A602" s="35" t="s">
        <v>110</v>
      </c>
      <c r="B602" s="35" t="s">
        <v>93</v>
      </c>
      <c r="C602" s="35"/>
      <c r="D602" s="35"/>
      <c r="E602" s="45" t="s">
        <v>116</v>
      </c>
      <c r="F602" s="42">
        <f>F603+F607+F611</f>
        <v>1760</v>
      </c>
      <c r="G602" s="42">
        <f t="shared" ref="G602:H602" si="159">G603+G607+G611</f>
        <v>1610</v>
      </c>
      <c r="H602" s="42">
        <f t="shared" si="159"/>
        <v>1610</v>
      </c>
    </row>
    <row r="603" spans="1:8" s="37" customFormat="1" ht="77.25" x14ac:dyDescent="0.25">
      <c r="A603" s="5" t="s">
        <v>110</v>
      </c>
      <c r="B603" s="5" t="s">
        <v>93</v>
      </c>
      <c r="C603" s="21" t="s">
        <v>73</v>
      </c>
      <c r="D603" s="35"/>
      <c r="E603" s="64" t="s">
        <v>571</v>
      </c>
      <c r="F603" s="65">
        <f t="shared" ref="F603:H604" si="160">F604</f>
        <v>972</v>
      </c>
      <c r="G603" s="65">
        <f t="shared" si="160"/>
        <v>972</v>
      </c>
      <c r="H603" s="65">
        <f t="shared" si="160"/>
        <v>972</v>
      </c>
    </row>
    <row r="604" spans="1:8" s="37" customFormat="1" ht="27" customHeight="1" x14ac:dyDescent="0.2">
      <c r="A604" s="16" t="s">
        <v>110</v>
      </c>
      <c r="B604" s="16" t="s">
        <v>93</v>
      </c>
      <c r="C604" s="52" t="s">
        <v>427</v>
      </c>
      <c r="D604" s="82"/>
      <c r="E604" s="46" t="s">
        <v>426</v>
      </c>
      <c r="F604" s="58">
        <f t="shared" si="160"/>
        <v>972</v>
      </c>
      <c r="G604" s="58">
        <f t="shared" si="160"/>
        <v>972</v>
      </c>
      <c r="H604" s="58">
        <f t="shared" si="160"/>
        <v>972</v>
      </c>
    </row>
    <row r="605" spans="1:8" s="37" customFormat="1" ht="103.5" customHeight="1" x14ac:dyDescent="0.2">
      <c r="A605" s="16" t="s">
        <v>110</v>
      </c>
      <c r="B605" s="16" t="s">
        <v>93</v>
      </c>
      <c r="C605" s="80">
        <v>140210560</v>
      </c>
      <c r="D605" s="82"/>
      <c r="E605" s="98" t="s">
        <v>182</v>
      </c>
      <c r="F605" s="41">
        <f>F606</f>
        <v>972</v>
      </c>
      <c r="G605" s="41">
        <f>G606</f>
        <v>972</v>
      </c>
      <c r="H605" s="41">
        <f>H606</f>
        <v>972</v>
      </c>
    </row>
    <row r="606" spans="1:8" s="37" customFormat="1" ht="25.5" x14ac:dyDescent="0.2">
      <c r="A606" s="16" t="s">
        <v>110</v>
      </c>
      <c r="B606" s="16" t="s">
        <v>93</v>
      </c>
      <c r="C606" s="80">
        <v>140210560</v>
      </c>
      <c r="D606" s="82" t="s">
        <v>279</v>
      </c>
      <c r="E606" s="98" t="s">
        <v>280</v>
      </c>
      <c r="F606" s="41">
        <f>1026-54</f>
        <v>972</v>
      </c>
      <c r="G606" s="41">
        <f t="shared" ref="G606:H606" si="161">1026-54</f>
        <v>972</v>
      </c>
      <c r="H606" s="41">
        <f t="shared" si="161"/>
        <v>972</v>
      </c>
    </row>
    <row r="607" spans="1:8" s="37" customFormat="1" ht="90" x14ac:dyDescent="0.25">
      <c r="A607" s="5" t="s">
        <v>110</v>
      </c>
      <c r="B607" s="5" t="s">
        <v>93</v>
      </c>
      <c r="C607" s="73" t="s">
        <v>35</v>
      </c>
      <c r="D607" s="3"/>
      <c r="E607" s="141" t="s">
        <v>585</v>
      </c>
      <c r="F607" s="59">
        <f t="shared" ref="F607:H608" si="162">F608</f>
        <v>688</v>
      </c>
      <c r="G607" s="59">
        <f t="shared" si="162"/>
        <v>638</v>
      </c>
      <c r="H607" s="59">
        <f t="shared" si="162"/>
        <v>638</v>
      </c>
    </row>
    <row r="608" spans="1:8" s="37" customFormat="1" ht="25.5" x14ac:dyDescent="0.2">
      <c r="A608" s="47" t="s">
        <v>110</v>
      </c>
      <c r="B608" s="47" t="s">
        <v>93</v>
      </c>
      <c r="C608" s="52" t="s">
        <v>37</v>
      </c>
      <c r="D608" s="16"/>
      <c r="E608" s="46" t="s">
        <v>80</v>
      </c>
      <c r="F608" s="93">
        <f>F609</f>
        <v>688</v>
      </c>
      <c r="G608" s="93">
        <f t="shared" si="162"/>
        <v>638</v>
      </c>
      <c r="H608" s="93">
        <f t="shared" si="162"/>
        <v>638</v>
      </c>
    </row>
    <row r="609" spans="1:8" s="37" customFormat="1" ht="63.75" x14ac:dyDescent="0.2">
      <c r="A609" s="16" t="s">
        <v>110</v>
      </c>
      <c r="B609" s="16" t="s">
        <v>93</v>
      </c>
      <c r="C609" s="79">
        <v>1320127100</v>
      </c>
      <c r="D609" s="16"/>
      <c r="E609" s="98" t="s">
        <v>3</v>
      </c>
      <c r="F609" s="41">
        <f>F610</f>
        <v>688</v>
      </c>
      <c r="G609" s="41">
        <f>G610</f>
        <v>638</v>
      </c>
      <c r="H609" s="41">
        <f>H610</f>
        <v>638</v>
      </c>
    </row>
    <row r="610" spans="1:8" s="37" customFormat="1" ht="76.5" x14ac:dyDescent="0.2">
      <c r="A610" s="16" t="s">
        <v>110</v>
      </c>
      <c r="B610" s="16" t="s">
        <v>93</v>
      </c>
      <c r="C610" s="79">
        <v>1320127100</v>
      </c>
      <c r="D610" s="16" t="s">
        <v>19</v>
      </c>
      <c r="E610" s="99" t="s">
        <v>360</v>
      </c>
      <c r="F610" s="41">
        <v>688</v>
      </c>
      <c r="G610" s="41">
        <v>638</v>
      </c>
      <c r="H610" s="41">
        <v>638</v>
      </c>
    </row>
    <row r="611" spans="1:8" s="37" customFormat="1" ht="25.5" x14ac:dyDescent="0.2">
      <c r="A611" s="5" t="s">
        <v>110</v>
      </c>
      <c r="B611" s="5" t="s">
        <v>93</v>
      </c>
      <c r="C611" s="83">
        <v>9900000000</v>
      </c>
      <c r="D611" s="5"/>
      <c r="E611" s="84" t="s">
        <v>144</v>
      </c>
      <c r="F611" s="62">
        <f>F612</f>
        <v>100</v>
      </c>
      <c r="G611" s="62">
        <f t="shared" ref="G611:H611" si="163">G612</f>
        <v>0</v>
      </c>
      <c r="H611" s="62">
        <f t="shared" si="163"/>
        <v>0</v>
      </c>
    </row>
    <row r="612" spans="1:8" s="37" customFormat="1" ht="14.25" x14ac:dyDescent="0.2">
      <c r="A612" s="16" t="s">
        <v>110</v>
      </c>
      <c r="B612" s="16" t="s">
        <v>93</v>
      </c>
      <c r="C612" s="79">
        <v>9920000000</v>
      </c>
      <c r="D612" s="35"/>
      <c r="E612" s="126" t="s">
        <v>5</v>
      </c>
      <c r="F612" s="94">
        <f t="shared" ref="F612:H613" si="164">F613</f>
        <v>100</v>
      </c>
      <c r="G612" s="94">
        <f t="shared" si="164"/>
        <v>0</v>
      </c>
      <c r="H612" s="94">
        <f t="shared" si="164"/>
        <v>0</v>
      </c>
    </row>
    <row r="613" spans="1:8" s="37" customFormat="1" ht="25.5" x14ac:dyDescent="0.2">
      <c r="A613" s="16" t="s">
        <v>110</v>
      </c>
      <c r="B613" s="16" t="s">
        <v>93</v>
      </c>
      <c r="C613" s="79">
        <v>9920026100</v>
      </c>
      <c r="D613" s="21"/>
      <c r="E613" s="99" t="s">
        <v>11</v>
      </c>
      <c r="F613" s="39">
        <f t="shared" si="164"/>
        <v>100</v>
      </c>
      <c r="G613" s="39">
        <f t="shared" si="164"/>
        <v>0</v>
      </c>
      <c r="H613" s="39">
        <f t="shared" si="164"/>
        <v>0</v>
      </c>
    </row>
    <row r="614" spans="1:8" s="37" customFormat="1" ht="14.25" x14ac:dyDescent="0.2">
      <c r="A614" s="16" t="s">
        <v>110</v>
      </c>
      <c r="B614" s="16" t="s">
        <v>93</v>
      </c>
      <c r="C614" s="79">
        <v>9920026100</v>
      </c>
      <c r="D614" s="82" t="s">
        <v>81</v>
      </c>
      <c r="E614" s="98" t="s">
        <v>82</v>
      </c>
      <c r="F614" s="39">
        <f>50+50</f>
        <v>100</v>
      </c>
      <c r="G614" s="39">
        <v>0</v>
      </c>
      <c r="H614" s="39">
        <v>0</v>
      </c>
    </row>
    <row r="615" spans="1:8" ht="14.25" x14ac:dyDescent="0.2">
      <c r="A615" s="35" t="s">
        <v>110</v>
      </c>
      <c r="B615" s="35" t="s">
        <v>94</v>
      </c>
      <c r="C615" s="35"/>
      <c r="D615" s="38"/>
      <c r="E615" s="50" t="s">
        <v>13</v>
      </c>
      <c r="F615" s="42">
        <f t="shared" ref="F615:G615" si="165">F616+F621</f>
        <v>36203.199999999997</v>
      </c>
      <c r="G615" s="42">
        <f t="shared" si="165"/>
        <v>18482.8</v>
      </c>
      <c r="H615" s="42">
        <f t="shared" ref="H615" si="166">H616+H621</f>
        <v>20339.899999999998</v>
      </c>
    </row>
    <row r="616" spans="1:8" ht="76.5" x14ac:dyDescent="0.2">
      <c r="A616" s="16" t="s">
        <v>110</v>
      </c>
      <c r="B616" s="16" t="s">
        <v>94</v>
      </c>
      <c r="C616" s="21" t="s">
        <v>73</v>
      </c>
      <c r="D616" s="35"/>
      <c r="E616" s="64" t="s">
        <v>571</v>
      </c>
      <c r="F616" s="96">
        <f t="shared" ref="F616:H617" si="167">F617</f>
        <v>13017.3</v>
      </c>
      <c r="G616" s="96">
        <f t="shared" si="167"/>
        <v>13017.3</v>
      </c>
      <c r="H616" s="96">
        <f t="shared" si="167"/>
        <v>13017.3</v>
      </c>
    </row>
    <row r="617" spans="1:8" ht="25.5" x14ac:dyDescent="0.2">
      <c r="A617" s="16" t="s">
        <v>110</v>
      </c>
      <c r="B617" s="16" t="s">
        <v>94</v>
      </c>
      <c r="C617" s="52" t="s">
        <v>74</v>
      </c>
      <c r="D617" s="35"/>
      <c r="E617" s="46" t="s">
        <v>388</v>
      </c>
      <c r="F617" s="93">
        <f t="shared" si="167"/>
        <v>13017.3</v>
      </c>
      <c r="G617" s="93">
        <f t="shared" si="167"/>
        <v>13017.3</v>
      </c>
      <c r="H617" s="93">
        <f t="shared" si="167"/>
        <v>13017.3</v>
      </c>
    </row>
    <row r="618" spans="1:8" ht="76.5" x14ac:dyDescent="0.2">
      <c r="A618" s="16" t="s">
        <v>110</v>
      </c>
      <c r="B618" s="16" t="s">
        <v>94</v>
      </c>
      <c r="C618" s="57" t="s">
        <v>387</v>
      </c>
      <c r="D618" s="21"/>
      <c r="E618" s="98" t="s">
        <v>386</v>
      </c>
      <c r="F618" s="94">
        <f>F619+F620</f>
        <v>13017.3</v>
      </c>
      <c r="G618" s="94">
        <f>G619+G620</f>
        <v>13017.3</v>
      </c>
      <c r="H618" s="94">
        <f>H619+H620</f>
        <v>13017.3</v>
      </c>
    </row>
    <row r="619" spans="1:8" ht="38.25" x14ac:dyDescent="0.2">
      <c r="A619" s="16" t="s">
        <v>110</v>
      </c>
      <c r="B619" s="16" t="s">
        <v>94</v>
      </c>
      <c r="C619" s="57" t="s">
        <v>387</v>
      </c>
      <c r="D619" s="82" t="s">
        <v>211</v>
      </c>
      <c r="E619" s="98" t="s">
        <v>212</v>
      </c>
      <c r="F619" s="94">
        <v>330</v>
      </c>
      <c r="G619" s="94">
        <v>330</v>
      </c>
      <c r="H619" s="94">
        <v>330</v>
      </c>
    </row>
    <row r="620" spans="1:8" ht="38.25" x14ac:dyDescent="0.2">
      <c r="A620" s="16" t="s">
        <v>110</v>
      </c>
      <c r="B620" s="16" t="s">
        <v>94</v>
      </c>
      <c r="C620" s="57" t="s">
        <v>387</v>
      </c>
      <c r="D620" s="82" t="s">
        <v>260</v>
      </c>
      <c r="E620" s="98" t="s">
        <v>249</v>
      </c>
      <c r="F620" s="94">
        <v>12687.3</v>
      </c>
      <c r="G620" s="94">
        <v>12687.3</v>
      </c>
      <c r="H620" s="94">
        <v>12687.3</v>
      </c>
    </row>
    <row r="621" spans="1:8" ht="90" x14ac:dyDescent="0.25">
      <c r="A621" s="5" t="s">
        <v>110</v>
      </c>
      <c r="B621" s="5" t="s">
        <v>94</v>
      </c>
      <c r="C621" s="73" t="s">
        <v>35</v>
      </c>
      <c r="D621" s="3"/>
      <c r="E621" s="141" t="s">
        <v>585</v>
      </c>
      <c r="F621" s="59">
        <f t="shared" ref="F621:H621" si="168">F622</f>
        <v>23185.9</v>
      </c>
      <c r="G621" s="59">
        <f t="shared" si="168"/>
        <v>5465.5</v>
      </c>
      <c r="H621" s="59">
        <f t="shared" si="168"/>
        <v>7322.5999999999995</v>
      </c>
    </row>
    <row r="622" spans="1:8" ht="25.5" x14ac:dyDescent="0.2">
      <c r="A622" s="47" t="s">
        <v>110</v>
      </c>
      <c r="B622" s="47" t="s">
        <v>94</v>
      </c>
      <c r="C622" s="52" t="s">
        <v>36</v>
      </c>
      <c r="D622" s="35"/>
      <c r="E622" s="46" t="s">
        <v>83</v>
      </c>
      <c r="F622" s="93">
        <f>F623+F625+F627+F629</f>
        <v>23185.9</v>
      </c>
      <c r="G622" s="93">
        <f t="shared" ref="G622:H622" si="169">G623+G625+G627+G629</f>
        <v>5465.5</v>
      </c>
      <c r="H622" s="93">
        <f t="shared" si="169"/>
        <v>7322.5999999999995</v>
      </c>
    </row>
    <row r="623" spans="1:8" ht="39" x14ac:dyDescent="0.25">
      <c r="A623" s="16" t="s">
        <v>110</v>
      </c>
      <c r="B623" s="16" t="s">
        <v>94</v>
      </c>
      <c r="C623" s="21" t="s">
        <v>305</v>
      </c>
      <c r="D623" s="3"/>
      <c r="E623" s="128" t="s">
        <v>202</v>
      </c>
      <c r="F623" s="41">
        <f t="shared" ref="F623:H623" si="170">F624</f>
        <v>724.6</v>
      </c>
      <c r="G623" s="41">
        <f t="shared" si="170"/>
        <v>905.8</v>
      </c>
      <c r="H623" s="41">
        <f t="shared" si="170"/>
        <v>1086.9000000000001</v>
      </c>
    </row>
    <row r="624" spans="1:8" x14ac:dyDescent="0.2">
      <c r="A624" s="16" t="s">
        <v>110</v>
      </c>
      <c r="B624" s="16" t="s">
        <v>94</v>
      </c>
      <c r="C624" s="21" t="s">
        <v>305</v>
      </c>
      <c r="D624" s="82" t="s">
        <v>248</v>
      </c>
      <c r="E624" s="102" t="s">
        <v>247</v>
      </c>
      <c r="F624" s="41">
        <v>724.6</v>
      </c>
      <c r="G624" s="41">
        <v>905.8</v>
      </c>
      <c r="H624" s="41">
        <v>1086.9000000000001</v>
      </c>
    </row>
    <row r="625" spans="1:8" ht="38.25" x14ac:dyDescent="0.2">
      <c r="A625" s="16" t="s">
        <v>110</v>
      </c>
      <c r="B625" s="16" t="s">
        <v>94</v>
      </c>
      <c r="C625" s="21" t="s">
        <v>701</v>
      </c>
      <c r="D625" s="82"/>
      <c r="E625" s="124" t="s">
        <v>702</v>
      </c>
      <c r="F625" s="41">
        <f>F626</f>
        <v>2898.4</v>
      </c>
      <c r="G625" s="41">
        <f t="shared" ref="G625:H625" si="171">G626</f>
        <v>0</v>
      </c>
      <c r="H625" s="41">
        <f t="shared" si="171"/>
        <v>0</v>
      </c>
    </row>
    <row r="626" spans="1:8" x14ac:dyDescent="0.2">
      <c r="A626" s="16" t="s">
        <v>110</v>
      </c>
      <c r="B626" s="16" t="s">
        <v>94</v>
      </c>
      <c r="C626" s="21" t="s">
        <v>701</v>
      </c>
      <c r="D626" s="82" t="s">
        <v>248</v>
      </c>
      <c r="E626" s="102" t="s">
        <v>247</v>
      </c>
      <c r="F626" s="41">
        <v>2898.4</v>
      </c>
      <c r="G626" s="41">
        <v>0</v>
      </c>
      <c r="H626" s="41">
        <v>0</v>
      </c>
    </row>
    <row r="627" spans="1:8" ht="51" x14ac:dyDescent="0.2">
      <c r="A627" s="16" t="s">
        <v>110</v>
      </c>
      <c r="B627" s="16" t="s">
        <v>94</v>
      </c>
      <c r="C627" s="79" t="s">
        <v>696</v>
      </c>
      <c r="D627" s="16"/>
      <c r="E627" s="98" t="s">
        <v>168</v>
      </c>
      <c r="F627" s="39">
        <f>F628</f>
        <v>5072.3</v>
      </c>
      <c r="G627" s="39">
        <f>G628</f>
        <v>1690.8</v>
      </c>
      <c r="H627" s="39">
        <f>H628</f>
        <v>3381.5</v>
      </c>
    </row>
    <row r="628" spans="1:8" x14ac:dyDescent="0.2">
      <c r="A628" s="16" t="s">
        <v>110</v>
      </c>
      <c r="B628" s="16" t="s">
        <v>94</v>
      </c>
      <c r="C628" s="79" t="s">
        <v>696</v>
      </c>
      <c r="D628" s="82" t="s">
        <v>248</v>
      </c>
      <c r="E628" s="102" t="s">
        <v>247</v>
      </c>
      <c r="F628" s="39">
        <v>5072.3</v>
      </c>
      <c r="G628" s="39">
        <v>1690.8</v>
      </c>
      <c r="H628" s="39">
        <v>3381.5</v>
      </c>
    </row>
    <row r="629" spans="1:8" ht="51" x14ac:dyDescent="0.2">
      <c r="A629" s="16" t="s">
        <v>110</v>
      </c>
      <c r="B629" s="16" t="s">
        <v>94</v>
      </c>
      <c r="C629" s="74" t="s">
        <v>330</v>
      </c>
      <c r="D629" s="16"/>
      <c r="E629" s="98" t="s">
        <v>317</v>
      </c>
      <c r="F629" s="94">
        <f t="shared" ref="F629:H629" si="172">F630</f>
        <v>14490.6</v>
      </c>
      <c r="G629" s="94">
        <f t="shared" si="172"/>
        <v>2868.9</v>
      </c>
      <c r="H629" s="94">
        <f t="shared" si="172"/>
        <v>2854.2</v>
      </c>
    </row>
    <row r="630" spans="1:8" ht="38.25" x14ac:dyDescent="0.2">
      <c r="A630" s="16" t="s">
        <v>110</v>
      </c>
      <c r="B630" s="16" t="s">
        <v>94</v>
      </c>
      <c r="C630" s="74" t="s">
        <v>330</v>
      </c>
      <c r="D630" s="82" t="s">
        <v>260</v>
      </c>
      <c r="E630" s="98" t="s">
        <v>249</v>
      </c>
      <c r="F630" s="94">
        <f>2854.2+11592.5+43.9</f>
        <v>14490.6</v>
      </c>
      <c r="G630" s="94">
        <v>2868.9</v>
      </c>
      <c r="H630" s="94">
        <v>2854.2</v>
      </c>
    </row>
    <row r="631" spans="1:8" ht="15.75" x14ac:dyDescent="0.25">
      <c r="A631" s="4" t="s">
        <v>102</v>
      </c>
      <c r="B631" s="3"/>
      <c r="C631" s="3"/>
      <c r="D631" s="3"/>
      <c r="E631" s="49" t="s">
        <v>123</v>
      </c>
      <c r="F631" s="92">
        <f t="shared" ref="F631:H633" si="173">F632</f>
        <v>6706.1</v>
      </c>
      <c r="G631" s="92">
        <f t="shared" si="173"/>
        <v>706.1</v>
      </c>
      <c r="H631" s="92">
        <f t="shared" si="173"/>
        <v>706.1</v>
      </c>
    </row>
    <row r="632" spans="1:8" s="37" customFormat="1" ht="14.25" x14ac:dyDescent="0.2">
      <c r="A632" s="35" t="s">
        <v>102</v>
      </c>
      <c r="B632" s="35" t="s">
        <v>89</v>
      </c>
      <c r="C632" s="35"/>
      <c r="D632" s="35"/>
      <c r="E632" s="46" t="s">
        <v>6</v>
      </c>
      <c r="F632" s="42">
        <f t="shared" si="173"/>
        <v>6706.1</v>
      </c>
      <c r="G632" s="42">
        <f t="shared" si="173"/>
        <v>706.1</v>
      </c>
      <c r="H632" s="42">
        <f t="shared" si="173"/>
        <v>706.1</v>
      </c>
    </row>
    <row r="633" spans="1:8" s="37" customFormat="1" ht="89.25" x14ac:dyDescent="0.2">
      <c r="A633" s="16" t="s">
        <v>102</v>
      </c>
      <c r="B633" s="16" t="s">
        <v>89</v>
      </c>
      <c r="C633" s="73" t="s">
        <v>59</v>
      </c>
      <c r="D633" s="35"/>
      <c r="E633" s="53" t="s">
        <v>572</v>
      </c>
      <c r="F633" s="62">
        <f t="shared" si="173"/>
        <v>6706.1</v>
      </c>
      <c r="G633" s="62">
        <f t="shared" si="173"/>
        <v>706.1</v>
      </c>
      <c r="H633" s="62">
        <f t="shared" si="173"/>
        <v>706.1</v>
      </c>
    </row>
    <row r="634" spans="1:8" s="37" customFormat="1" ht="38.25" x14ac:dyDescent="0.2">
      <c r="A634" s="47" t="s">
        <v>102</v>
      </c>
      <c r="B634" s="47" t="s">
        <v>89</v>
      </c>
      <c r="C634" s="52" t="s">
        <v>43</v>
      </c>
      <c r="D634" s="35"/>
      <c r="E634" s="48" t="s">
        <v>201</v>
      </c>
      <c r="F634" s="58">
        <f>F635+F638+F641</f>
        <v>6706.1</v>
      </c>
      <c r="G634" s="58">
        <f t="shared" ref="G634:H634" si="174">G635+G638+G641</f>
        <v>706.1</v>
      </c>
      <c r="H634" s="58">
        <f t="shared" si="174"/>
        <v>706.1</v>
      </c>
    </row>
    <row r="635" spans="1:8" s="37" customFormat="1" ht="89.25" x14ac:dyDescent="0.2">
      <c r="A635" s="16" t="s">
        <v>102</v>
      </c>
      <c r="B635" s="16" t="s">
        <v>89</v>
      </c>
      <c r="C635" s="21" t="s">
        <v>448</v>
      </c>
      <c r="D635" s="21"/>
      <c r="E635" s="99" t="s">
        <v>176</v>
      </c>
      <c r="F635" s="39">
        <f>SUM(F636:F637)</f>
        <v>615.1</v>
      </c>
      <c r="G635" s="39">
        <f>SUM(G637:G637)</f>
        <v>615.1</v>
      </c>
      <c r="H635" s="39">
        <f>SUM(H637:H637)</f>
        <v>615.1</v>
      </c>
    </row>
    <row r="636" spans="1:8" s="37" customFormat="1" ht="25.5" x14ac:dyDescent="0.2">
      <c r="A636" s="16" t="s">
        <v>102</v>
      </c>
      <c r="B636" s="16" t="s">
        <v>89</v>
      </c>
      <c r="C636" s="21" t="s">
        <v>448</v>
      </c>
      <c r="D636" s="82" t="s">
        <v>64</v>
      </c>
      <c r="E636" s="55" t="s">
        <v>130</v>
      </c>
      <c r="F636" s="39">
        <v>131.30000000000001</v>
      </c>
      <c r="G636" s="39">
        <v>0</v>
      </c>
      <c r="H636" s="39">
        <v>0</v>
      </c>
    </row>
    <row r="637" spans="1:8" s="37" customFormat="1" ht="38.25" x14ac:dyDescent="0.2">
      <c r="A637" s="16" t="s">
        <v>102</v>
      </c>
      <c r="B637" s="16" t="s">
        <v>89</v>
      </c>
      <c r="C637" s="21" t="s">
        <v>448</v>
      </c>
      <c r="D637" s="82" t="s">
        <v>211</v>
      </c>
      <c r="E637" s="98" t="s">
        <v>212</v>
      </c>
      <c r="F637" s="39">
        <f>615.1-131.3</f>
        <v>483.8</v>
      </c>
      <c r="G637" s="39">
        <v>615.1</v>
      </c>
      <c r="H637" s="39">
        <v>615.1</v>
      </c>
    </row>
    <row r="638" spans="1:8" s="37" customFormat="1" ht="63.75" x14ac:dyDescent="0.2">
      <c r="A638" s="16" t="s">
        <v>102</v>
      </c>
      <c r="B638" s="16" t="s">
        <v>89</v>
      </c>
      <c r="C638" s="21" t="s">
        <v>449</v>
      </c>
      <c r="D638" s="21"/>
      <c r="E638" s="99" t="s">
        <v>61</v>
      </c>
      <c r="F638" s="39">
        <f>SUM(F639:F640)</f>
        <v>91</v>
      </c>
      <c r="G638" s="39">
        <f>SUM(G639:G640)</f>
        <v>91</v>
      </c>
      <c r="H638" s="39">
        <f>SUM(H639:H640)</f>
        <v>91</v>
      </c>
    </row>
    <row r="639" spans="1:8" s="37" customFormat="1" ht="25.5" x14ac:dyDescent="0.2">
      <c r="A639" s="16" t="s">
        <v>102</v>
      </c>
      <c r="B639" s="16" t="s">
        <v>89</v>
      </c>
      <c r="C639" s="21" t="s">
        <v>449</v>
      </c>
      <c r="D639" s="82" t="s">
        <v>64</v>
      </c>
      <c r="E639" s="55" t="s">
        <v>130</v>
      </c>
      <c r="F639" s="39">
        <v>46</v>
      </c>
      <c r="G639" s="39">
        <v>46</v>
      </c>
      <c r="H639" s="39">
        <v>46</v>
      </c>
    </row>
    <row r="640" spans="1:8" ht="38.25" x14ac:dyDescent="0.2">
      <c r="A640" s="16" t="s">
        <v>102</v>
      </c>
      <c r="B640" s="16" t="s">
        <v>89</v>
      </c>
      <c r="C640" s="21" t="s">
        <v>449</v>
      </c>
      <c r="D640" s="82" t="s">
        <v>211</v>
      </c>
      <c r="E640" s="98" t="s">
        <v>212</v>
      </c>
      <c r="F640" s="39">
        <v>45</v>
      </c>
      <c r="G640" s="39">
        <v>45</v>
      </c>
      <c r="H640" s="39">
        <v>45</v>
      </c>
    </row>
    <row r="641" spans="1:8" ht="25.5" x14ac:dyDescent="0.2">
      <c r="A641" s="16" t="s">
        <v>102</v>
      </c>
      <c r="B641" s="16" t="s">
        <v>89</v>
      </c>
      <c r="C641" s="21" t="s">
        <v>709</v>
      </c>
      <c r="D641" s="82"/>
      <c r="E641" s="98" t="s">
        <v>710</v>
      </c>
      <c r="F641" s="39">
        <f>F642</f>
        <v>6000</v>
      </c>
      <c r="G641" s="39">
        <f t="shared" ref="G641:H641" si="175">G642</f>
        <v>0</v>
      </c>
      <c r="H641" s="39">
        <f t="shared" si="175"/>
        <v>0</v>
      </c>
    </row>
    <row r="642" spans="1:8" ht="38.25" x14ac:dyDescent="0.2">
      <c r="A642" s="16" t="s">
        <v>102</v>
      </c>
      <c r="B642" s="16" t="s">
        <v>89</v>
      </c>
      <c r="C642" s="21" t="s">
        <v>709</v>
      </c>
      <c r="D642" s="82" t="s">
        <v>211</v>
      </c>
      <c r="E642" s="98" t="s">
        <v>212</v>
      </c>
      <c r="F642" s="39">
        <v>6000</v>
      </c>
      <c r="G642" s="39">
        <v>0</v>
      </c>
      <c r="H642" s="39">
        <v>0</v>
      </c>
    </row>
    <row r="643" spans="1:8" ht="30" x14ac:dyDescent="0.25">
      <c r="A643" s="4" t="s">
        <v>122</v>
      </c>
      <c r="B643" s="3"/>
      <c r="C643" s="3"/>
      <c r="D643" s="3"/>
      <c r="E643" s="49" t="s">
        <v>8</v>
      </c>
      <c r="F643" s="92">
        <f t="shared" ref="F643:H645" si="176">F644</f>
        <v>4480.7</v>
      </c>
      <c r="G643" s="92">
        <f t="shared" si="176"/>
        <v>3538</v>
      </c>
      <c r="H643" s="92">
        <f t="shared" si="176"/>
        <v>3538</v>
      </c>
    </row>
    <row r="644" spans="1:8" ht="28.5" x14ac:dyDescent="0.2">
      <c r="A644" s="35" t="s">
        <v>122</v>
      </c>
      <c r="B644" s="35" t="s">
        <v>94</v>
      </c>
      <c r="C644" s="35"/>
      <c r="D644" s="35"/>
      <c r="E644" s="50" t="s">
        <v>14</v>
      </c>
      <c r="F644" s="40">
        <f t="shared" si="176"/>
        <v>4480.7</v>
      </c>
      <c r="G644" s="40">
        <f t="shared" si="176"/>
        <v>3538</v>
      </c>
      <c r="H644" s="40">
        <f t="shared" si="176"/>
        <v>3538</v>
      </c>
    </row>
    <row r="645" spans="1:8" s="20" customFormat="1" ht="90" x14ac:dyDescent="0.25">
      <c r="A645" s="16" t="s">
        <v>122</v>
      </c>
      <c r="B645" s="16" t="s">
        <v>94</v>
      </c>
      <c r="C645" s="74">
        <v>400000000</v>
      </c>
      <c r="D645" s="30"/>
      <c r="E645" s="141" t="s">
        <v>575</v>
      </c>
      <c r="F645" s="96">
        <f t="shared" si="176"/>
        <v>4480.7</v>
      </c>
      <c r="G645" s="96">
        <f t="shared" si="176"/>
        <v>3538</v>
      </c>
      <c r="H645" s="96">
        <f t="shared" si="176"/>
        <v>3538</v>
      </c>
    </row>
    <row r="646" spans="1:8" s="20" customFormat="1" ht="51.75" x14ac:dyDescent="0.25">
      <c r="A646" s="16" t="s">
        <v>122</v>
      </c>
      <c r="B646" s="16" t="s">
        <v>94</v>
      </c>
      <c r="C646" s="75">
        <v>420000000</v>
      </c>
      <c r="D646" s="30"/>
      <c r="E646" s="46" t="s">
        <v>166</v>
      </c>
      <c r="F646" s="93">
        <f>F647+F649+F651+F653+F655+F657</f>
        <v>4480.7</v>
      </c>
      <c r="G646" s="93">
        <f t="shared" ref="G646:H646" si="177">G647+G649+G651+G653+G655+G657</f>
        <v>3538</v>
      </c>
      <c r="H646" s="93">
        <f t="shared" si="177"/>
        <v>3538</v>
      </c>
    </row>
    <row r="647" spans="1:8" s="20" customFormat="1" ht="51" x14ac:dyDescent="0.25">
      <c r="A647" s="16" t="s">
        <v>122</v>
      </c>
      <c r="B647" s="16" t="s">
        <v>94</v>
      </c>
      <c r="C647" s="74" t="s">
        <v>473</v>
      </c>
      <c r="D647" s="16"/>
      <c r="E647" s="98" t="s">
        <v>352</v>
      </c>
      <c r="F647" s="41">
        <f>F648</f>
        <v>600</v>
      </c>
      <c r="G647" s="41">
        <f t="shared" ref="G647:H647" si="178">G648</f>
        <v>300</v>
      </c>
      <c r="H647" s="41">
        <f t="shared" si="178"/>
        <v>300</v>
      </c>
    </row>
    <row r="648" spans="1:8" s="20" customFormat="1" ht="77.25" x14ac:dyDescent="0.25">
      <c r="A648" s="16" t="s">
        <v>122</v>
      </c>
      <c r="B648" s="16" t="s">
        <v>94</v>
      </c>
      <c r="C648" s="74" t="s">
        <v>473</v>
      </c>
      <c r="D648" s="16" t="s">
        <v>19</v>
      </c>
      <c r="E648" s="99" t="s">
        <v>360</v>
      </c>
      <c r="F648" s="41">
        <v>600</v>
      </c>
      <c r="G648" s="41">
        <v>300</v>
      </c>
      <c r="H648" s="41">
        <v>300</v>
      </c>
    </row>
    <row r="649" spans="1:8" s="20" customFormat="1" ht="66.75" customHeight="1" x14ac:dyDescent="0.25">
      <c r="A649" s="16" t="s">
        <v>122</v>
      </c>
      <c r="B649" s="16" t="s">
        <v>94</v>
      </c>
      <c r="C649" s="74">
        <v>420123230</v>
      </c>
      <c r="D649" s="16"/>
      <c r="E649" s="99" t="s">
        <v>661</v>
      </c>
      <c r="F649" s="41">
        <f>F650</f>
        <v>1620</v>
      </c>
      <c r="G649" s="41">
        <f t="shared" ref="G649:H649" si="179">G650</f>
        <v>1300</v>
      </c>
      <c r="H649" s="41">
        <f t="shared" si="179"/>
        <v>1300</v>
      </c>
    </row>
    <row r="650" spans="1:8" s="20" customFormat="1" ht="38.25" x14ac:dyDescent="0.25">
      <c r="A650" s="16" t="s">
        <v>122</v>
      </c>
      <c r="B650" s="16" t="s">
        <v>94</v>
      </c>
      <c r="C650" s="74">
        <v>420123230</v>
      </c>
      <c r="D650" s="82" t="s">
        <v>211</v>
      </c>
      <c r="E650" s="98" t="s">
        <v>212</v>
      </c>
      <c r="F650" s="41">
        <f>1200+420</f>
        <v>1620</v>
      </c>
      <c r="G650" s="41">
        <v>1300</v>
      </c>
      <c r="H650" s="41">
        <v>1300</v>
      </c>
    </row>
    <row r="651" spans="1:8" s="20" customFormat="1" ht="39" x14ac:dyDescent="0.25">
      <c r="A651" s="16" t="s">
        <v>122</v>
      </c>
      <c r="B651" s="16" t="s">
        <v>94</v>
      </c>
      <c r="C651" s="135" t="s">
        <v>691</v>
      </c>
      <c r="D651" s="1"/>
      <c r="E651" s="134" t="s">
        <v>474</v>
      </c>
      <c r="F651" s="41">
        <f>F652</f>
        <v>925.9</v>
      </c>
      <c r="G651" s="41">
        <f t="shared" ref="G651:H651" si="180">G652</f>
        <v>925.9</v>
      </c>
      <c r="H651" s="41">
        <f t="shared" si="180"/>
        <v>925.9</v>
      </c>
    </row>
    <row r="652" spans="1:8" s="20" customFormat="1" ht="77.25" x14ac:dyDescent="0.25">
      <c r="A652" s="16" t="s">
        <v>122</v>
      </c>
      <c r="B652" s="16" t="s">
        <v>94</v>
      </c>
      <c r="C652" s="135" t="s">
        <v>691</v>
      </c>
      <c r="D652" s="16" t="s">
        <v>19</v>
      </c>
      <c r="E652" s="99" t="s">
        <v>360</v>
      </c>
      <c r="F652" s="41">
        <f>926.8-0.9</f>
        <v>925.9</v>
      </c>
      <c r="G652" s="41">
        <f t="shared" ref="G652:H652" si="181">926.8-0.9</f>
        <v>925.9</v>
      </c>
      <c r="H652" s="41">
        <f t="shared" si="181"/>
        <v>925.9</v>
      </c>
    </row>
    <row r="653" spans="1:8" s="20" customFormat="1" ht="42" customHeight="1" x14ac:dyDescent="0.25">
      <c r="A653" s="16" t="s">
        <v>122</v>
      </c>
      <c r="B653" s="16" t="s">
        <v>94</v>
      </c>
      <c r="C653" s="74" t="s">
        <v>475</v>
      </c>
      <c r="D653" s="16"/>
      <c r="E653" s="99" t="s">
        <v>476</v>
      </c>
      <c r="F653" s="41">
        <f>F654</f>
        <v>100</v>
      </c>
      <c r="G653" s="41">
        <f t="shared" ref="G653:H653" si="182">G654</f>
        <v>0</v>
      </c>
      <c r="H653" s="41">
        <f t="shared" si="182"/>
        <v>0</v>
      </c>
    </row>
    <row r="654" spans="1:8" s="20" customFormat="1" ht="77.25" x14ac:dyDescent="0.25">
      <c r="A654" s="16" t="s">
        <v>122</v>
      </c>
      <c r="B654" s="16" t="s">
        <v>94</v>
      </c>
      <c r="C654" s="74" t="s">
        <v>475</v>
      </c>
      <c r="D654" s="16" t="s">
        <v>19</v>
      </c>
      <c r="E654" s="99" t="s">
        <v>360</v>
      </c>
      <c r="F654" s="41">
        <v>100</v>
      </c>
      <c r="G654" s="41">
        <v>0</v>
      </c>
      <c r="H654" s="41">
        <v>0</v>
      </c>
    </row>
    <row r="655" spans="1:8" s="20" customFormat="1" ht="76.5" x14ac:dyDescent="0.25">
      <c r="A655" s="16" t="s">
        <v>122</v>
      </c>
      <c r="B655" s="16" t="s">
        <v>94</v>
      </c>
      <c r="C655" s="74">
        <v>420223235</v>
      </c>
      <c r="D655" s="30"/>
      <c r="E655" s="98" t="s">
        <v>659</v>
      </c>
      <c r="F655" s="41">
        <f>F656</f>
        <v>686.3</v>
      </c>
      <c r="G655" s="41">
        <f>G656</f>
        <v>575.29999999999995</v>
      </c>
      <c r="H655" s="41">
        <f>H656</f>
        <v>575.29999999999995</v>
      </c>
    </row>
    <row r="656" spans="1:8" s="20" customFormat="1" ht="38.25" x14ac:dyDescent="0.25">
      <c r="A656" s="16" t="s">
        <v>122</v>
      </c>
      <c r="B656" s="16" t="s">
        <v>94</v>
      </c>
      <c r="C656" s="74">
        <v>420223235</v>
      </c>
      <c r="D656" s="82" t="s">
        <v>211</v>
      </c>
      <c r="E656" s="98" t="s">
        <v>212</v>
      </c>
      <c r="F656" s="41">
        <f>575.3+111</f>
        <v>686.3</v>
      </c>
      <c r="G656" s="41">
        <v>575.29999999999995</v>
      </c>
      <c r="H656" s="41">
        <v>575.29999999999995</v>
      </c>
    </row>
    <row r="657" spans="1:8" ht="62.25" customHeight="1" x14ac:dyDescent="0.2">
      <c r="A657" s="16" t="s">
        <v>122</v>
      </c>
      <c r="B657" s="16" t="s">
        <v>94</v>
      </c>
      <c r="C657" s="74">
        <v>420223240</v>
      </c>
      <c r="D657" s="82"/>
      <c r="E657" s="98" t="s">
        <v>658</v>
      </c>
      <c r="F657" s="41">
        <f>F658</f>
        <v>548.5</v>
      </c>
      <c r="G657" s="41">
        <f t="shared" ref="G657:H657" si="183">G658</f>
        <v>436.8</v>
      </c>
      <c r="H657" s="41">
        <f t="shared" si="183"/>
        <v>436.8</v>
      </c>
    </row>
    <row r="658" spans="1:8" ht="38.25" x14ac:dyDescent="0.2">
      <c r="A658" s="16" t="s">
        <v>122</v>
      </c>
      <c r="B658" s="16" t="s">
        <v>94</v>
      </c>
      <c r="C658" s="74">
        <v>420223240</v>
      </c>
      <c r="D658" s="82" t="s">
        <v>211</v>
      </c>
      <c r="E658" s="98" t="s">
        <v>212</v>
      </c>
      <c r="F658" s="41">
        <f>436.8+111.7</f>
        <v>548.5</v>
      </c>
      <c r="G658" s="41">
        <v>436.8</v>
      </c>
      <c r="H658" s="41">
        <v>436.8</v>
      </c>
    </row>
    <row r="659" spans="1:8" ht="47.25" x14ac:dyDescent="0.25">
      <c r="A659" s="4" t="s">
        <v>9</v>
      </c>
      <c r="B659" s="5"/>
      <c r="C659" s="1"/>
      <c r="D659" s="1"/>
      <c r="E659" s="10" t="s">
        <v>600</v>
      </c>
      <c r="F659" s="96">
        <f>F660</f>
        <v>25</v>
      </c>
      <c r="G659" s="96">
        <f t="shared" ref="G659:H662" si="184">G660</f>
        <v>0</v>
      </c>
      <c r="H659" s="96">
        <f t="shared" si="184"/>
        <v>0</v>
      </c>
    </row>
    <row r="660" spans="1:8" ht="25.5" x14ac:dyDescent="0.2">
      <c r="A660" s="47" t="s">
        <v>9</v>
      </c>
      <c r="B660" s="47" t="s">
        <v>88</v>
      </c>
      <c r="C660" s="23"/>
      <c r="D660" s="23"/>
      <c r="E660" s="48" t="s">
        <v>601</v>
      </c>
      <c r="F660" s="93">
        <f>F661</f>
        <v>25</v>
      </c>
      <c r="G660" s="93">
        <f t="shared" si="184"/>
        <v>0</v>
      </c>
      <c r="H660" s="93">
        <f t="shared" si="184"/>
        <v>0</v>
      </c>
    </row>
    <row r="661" spans="1:8" ht="38.25" x14ac:dyDescent="0.2">
      <c r="A661" s="82" t="s">
        <v>9</v>
      </c>
      <c r="B661" s="82" t="s">
        <v>88</v>
      </c>
      <c r="C661" s="82" t="s">
        <v>24</v>
      </c>
      <c r="D661" s="82"/>
      <c r="E661" s="99" t="s">
        <v>38</v>
      </c>
      <c r="F661" s="39">
        <f>F662</f>
        <v>25</v>
      </c>
      <c r="G661" s="39">
        <f t="shared" si="184"/>
        <v>0</v>
      </c>
      <c r="H661" s="39">
        <f t="shared" si="184"/>
        <v>0</v>
      </c>
    </row>
    <row r="662" spans="1:8" ht="25.5" x14ac:dyDescent="0.2">
      <c r="A662" s="82" t="s">
        <v>9</v>
      </c>
      <c r="B662" s="82" t="s">
        <v>88</v>
      </c>
      <c r="C662" s="1">
        <v>9940026500</v>
      </c>
      <c r="D662" s="1"/>
      <c r="E662" s="99" t="s">
        <v>602</v>
      </c>
      <c r="F662" s="39">
        <f>F663</f>
        <v>25</v>
      </c>
      <c r="G662" s="39">
        <f t="shared" si="184"/>
        <v>0</v>
      </c>
      <c r="H662" s="39">
        <f t="shared" si="184"/>
        <v>0</v>
      </c>
    </row>
    <row r="663" spans="1:8" x14ac:dyDescent="0.2">
      <c r="A663" s="82" t="s">
        <v>9</v>
      </c>
      <c r="B663" s="82" t="s">
        <v>88</v>
      </c>
      <c r="C663" s="1">
        <v>9940026500</v>
      </c>
      <c r="D663" s="82" t="s">
        <v>603</v>
      </c>
      <c r="E663" s="1" t="s">
        <v>604</v>
      </c>
      <c r="F663" s="39">
        <v>25</v>
      </c>
      <c r="G663" s="39">
        <v>0</v>
      </c>
      <c r="H663"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fitToHeight="0"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766"/>
  <sheetViews>
    <sheetView view="pageBreakPreview" topLeftCell="B1" zoomScale="60" zoomScaleNormal="100" workbookViewId="0">
      <selection activeCell="H12" sqref="H12"/>
    </sheetView>
  </sheetViews>
  <sheetFormatPr defaultColWidth="9.140625" defaultRowHeight="12.75" x14ac:dyDescent="0.2"/>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9" width="11" customWidth="1"/>
    <col min="10" max="10" width="10.7109375" customWidth="1"/>
  </cols>
  <sheetData>
    <row r="1" spans="1:10" x14ac:dyDescent="0.2">
      <c r="G1" s="85" t="s">
        <v>564</v>
      </c>
    </row>
    <row r="2" spans="1:10" x14ac:dyDescent="0.2">
      <c r="G2" s="85" t="s">
        <v>565</v>
      </c>
    </row>
    <row r="3" spans="1:10" x14ac:dyDescent="0.2">
      <c r="G3" s="85" t="s">
        <v>779</v>
      </c>
    </row>
    <row r="4" spans="1:10" x14ac:dyDescent="0.2">
      <c r="G4" s="85" t="s">
        <v>621</v>
      </c>
    </row>
    <row r="5" spans="1:10" x14ac:dyDescent="0.2">
      <c r="G5" s="85" t="s">
        <v>682</v>
      </c>
    </row>
    <row r="6" spans="1:10" x14ac:dyDescent="0.2">
      <c r="G6" s="85" t="s">
        <v>143</v>
      </c>
    </row>
    <row r="7" spans="1:10" x14ac:dyDescent="0.2">
      <c r="G7" s="85" t="s">
        <v>654</v>
      </c>
    </row>
    <row r="8" spans="1:10" x14ac:dyDescent="0.2">
      <c r="G8" s="85"/>
    </row>
    <row r="9" spans="1:10" s="111" customFormat="1" x14ac:dyDescent="0.2">
      <c r="B9" s="202" t="s">
        <v>86</v>
      </c>
      <c r="C9" s="202"/>
      <c r="G9" s="85" t="s">
        <v>564</v>
      </c>
      <c r="H9" s="86"/>
      <c r="I9" s="86"/>
      <c r="J9" s="86"/>
    </row>
    <row r="10" spans="1:10" s="111" customFormat="1" x14ac:dyDescent="0.2">
      <c r="B10" s="203" t="s">
        <v>136</v>
      </c>
      <c r="C10" s="203"/>
      <c r="G10" s="85" t="s">
        <v>370</v>
      </c>
      <c r="H10" s="85"/>
      <c r="I10" s="86"/>
      <c r="J10" s="86"/>
    </row>
    <row r="11" spans="1:10" s="111" customFormat="1" x14ac:dyDescent="0.2">
      <c r="B11" s="202" t="s">
        <v>129</v>
      </c>
      <c r="C11" s="202"/>
      <c r="G11" s="85" t="s">
        <v>685</v>
      </c>
      <c r="H11" s="85"/>
      <c r="I11" s="86"/>
      <c r="J11" s="86"/>
    </row>
    <row r="12" spans="1:10" x14ac:dyDescent="0.2">
      <c r="G12" s="85" t="s">
        <v>143</v>
      </c>
      <c r="H12" s="85"/>
      <c r="I12" s="86"/>
      <c r="J12" s="86"/>
    </row>
    <row r="13" spans="1:10" x14ac:dyDescent="0.2">
      <c r="G13" s="85" t="s">
        <v>654</v>
      </c>
      <c r="H13" s="85"/>
      <c r="I13" s="86"/>
      <c r="J13" s="86"/>
    </row>
    <row r="14" spans="1:10" x14ac:dyDescent="0.2">
      <c r="G14" s="85"/>
      <c r="H14" s="85"/>
      <c r="I14" s="86"/>
      <c r="J14" s="86"/>
    </row>
    <row r="15" spans="1:10" x14ac:dyDescent="0.2">
      <c r="G15" s="7"/>
      <c r="H15" s="7"/>
    </row>
    <row r="16" spans="1:10" ht="79.5" customHeight="1" x14ac:dyDescent="0.2">
      <c r="A16" s="180" t="s">
        <v>686</v>
      </c>
      <c r="B16" s="200"/>
      <c r="C16" s="200"/>
      <c r="D16" s="200"/>
      <c r="E16" s="200"/>
      <c r="F16" s="200"/>
      <c r="G16" s="200"/>
      <c r="H16" s="200"/>
      <c r="I16" s="201"/>
      <c r="J16" s="201"/>
    </row>
    <row r="17" spans="1:10" ht="15" x14ac:dyDescent="0.2">
      <c r="A17" s="109"/>
      <c r="B17" s="110"/>
      <c r="C17" s="110"/>
      <c r="D17" s="110"/>
      <c r="E17" s="110"/>
      <c r="F17" s="110"/>
      <c r="G17" s="110"/>
      <c r="H17" s="110"/>
    </row>
    <row r="18" spans="1:10" x14ac:dyDescent="0.2">
      <c r="B18" s="206" t="s">
        <v>128</v>
      </c>
      <c r="C18" s="184" t="s">
        <v>117</v>
      </c>
      <c r="D18" s="184" t="s">
        <v>118</v>
      </c>
      <c r="E18" s="184" t="s">
        <v>119</v>
      </c>
      <c r="F18" s="184" t="s">
        <v>113</v>
      </c>
      <c r="G18" s="184" t="s">
        <v>90</v>
      </c>
      <c r="H18" s="199" t="s">
        <v>27</v>
      </c>
      <c r="I18" s="179"/>
      <c r="J18" s="179"/>
    </row>
    <row r="19" spans="1:10" x14ac:dyDescent="0.2">
      <c r="A19" s="204" t="s">
        <v>87</v>
      </c>
      <c r="B19" s="179"/>
      <c r="C19" s="185"/>
      <c r="D19" s="185"/>
      <c r="E19" s="185"/>
      <c r="F19" s="185"/>
      <c r="G19" s="185"/>
      <c r="H19" s="190" t="s">
        <v>464</v>
      </c>
      <c r="I19" s="179" t="s">
        <v>140</v>
      </c>
      <c r="J19" s="179"/>
    </row>
    <row r="20" spans="1:10" x14ac:dyDescent="0.2">
      <c r="A20" s="205"/>
      <c r="B20" s="179"/>
      <c r="C20" s="186"/>
      <c r="D20" s="186"/>
      <c r="E20" s="186"/>
      <c r="F20" s="186"/>
      <c r="G20" s="186"/>
      <c r="H20" s="191"/>
      <c r="I20" s="143" t="s">
        <v>590</v>
      </c>
      <c r="J20" s="143" t="s">
        <v>655</v>
      </c>
    </row>
    <row r="21" spans="1:10" x14ac:dyDescent="0.2">
      <c r="A21" s="2">
        <v>1</v>
      </c>
      <c r="B21" s="69">
        <v>1</v>
      </c>
      <c r="C21" s="69">
        <v>2</v>
      </c>
      <c r="D21" s="69">
        <v>3</v>
      </c>
      <c r="E21" s="69">
        <v>4</v>
      </c>
      <c r="F21" s="69">
        <v>5</v>
      </c>
      <c r="G21" s="69">
        <v>6</v>
      </c>
      <c r="H21" s="69">
        <v>7</v>
      </c>
      <c r="I21" s="69">
        <v>8</v>
      </c>
      <c r="J21" s="69">
        <v>9</v>
      </c>
    </row>
    <row r="22" spans="1:10" ht="18" x14ac:dyDescent="0.25">
      <c r="A22" s="12"/>
      <c r="B22" s="25"/>
      <c r="C22" s="12"/>
      <c r="D22" s="12"/>
      <c r="E22" s="12"/>
      <c r="F22" s="12"/>
      <c r="G22" s="9" t="s">
        <v>92</v>
      </c>
      <c r="H22" s="59">
        <f>H23+H33+H42+H477+H631+H750</f>
        <v>1751889.0999999999</v>
      </c>
      <c r="I22" s="59">
        <f>I23+I33+I42+I477+I631+I750</f>
        <v>1169103.3</v>
      </c>
      <c r="J22" s="59">
        <f>J23+J33+J42+J477+J631+J750</f>
        <v>1170882</v>
      </c>
    </row>
    <row r="23" spans="1:10" ht="36" x14ac:dyDescent="0.25">
      <c r="A23" s="3">
        <v>1</v>
      </c>
      <c r="B23" s="91">
        <v>936</v>
      </c>
      <c r="C23" s="13"/>
      <c r="D23" s="13"/>
      <c r="E23" s="13"/>
      <c r="F23" s="13"/>
      <c r="G23" s="14" t="s">
        <v>138</v>
      </c>
      <c r="H23" s="92">
        <f t="shared" ref="H23:J26" si="0">H24</f>
        <v>4542.8</v>
      </c>
      <c r="I23" s="92">
        <f t="shared" si="0"/>
        <v>4420.3</v>
      </c>
      <c r="J23" s="92">
        <f t="shared" si="0"/>
        <v>4420.3</v>
      </c>
    </row>
    <row r="24" spans="1:10" ht="18.75" customHeight="1" x14ac:dyDescent="0.25">
      <c r="A24" s="3"/>
      <c r="B24" s="91"/>
      <c r="C24" s="4" t="s">
        <v>88</v>
      </c>
      <c r="D24" s="11"/>
      <c r="E24" s="11"/>
      <c r="F24" s="11"/>
      <c r="G24" s="49" t="s">
        <v>91</v>
      </c>
      <c r="H24" s="92">
        <f t="shared" si="0"/>
        <v>4542.8</v>
      </c>
      <c r="I24" s="92">
        <f t="shared" si="0"/>
        <v>4420.3</v>
      </c>
      <c r="J24" s="92">
        <f t="shared" si="0"/>
        <v>4420.3</v>
      </c>
    </row>
    <row r="25" spans="1:10" ht="64.5" x14ac:dyDescent="0.25">
      <c r="A25" s="29"/>
      <c r="B25" s="24"/>
      <c r="C25" s="30" t="s">
        <v>88</v>
      </c>
      <c r="D25" s="30" t="s">
        <v>93</v>
      </c>
      <c r="E25" s="31"/>
      <c r="F25" s="31"/>
      <c r="G25" s="48" t="s">
        <v>127</v>
      </c>
      <c r="H25" s="43">
        <f t="shared" si="0"/>
        <v>4542.8</v>
      </c>
      <c r="I25" s="43">
        <f t="shared" si="0"/>
        <v>4420.3</v>
      </c>
      <c r="J25" s="43">
        <f t="shared" si="0"/>
        <v>4420.3</v>
      </c>
    </row>
    <row r="26" spans="1:10" ht="25.5" x14ac:dyDescent="0.2">
      <c r="A26" s="1"/>
      <c r="B26" s="25"/>
      <c r="C26" s="16" t="s">
        <v>88</v>
      </c>
      <c r="D26" s="16" t="s">
        <v>93</v>
      </c>
      <c r="E26" s="79">
        <v>9900000000</v>
      </c>
      <c r="F26" s="21"/>
      <c r="G26" s="55" t="s">
        <v>145</v>
      </c>
      <c r="H26" s="41">
        <f t="shared" si="0"/>
        <v>4542.8</v>
      </c>
      <c r="I26" s="41">
        <f t="shared" si="0"/>
        <v>4420.3</v>
      </c>
      <c r="J26" s="41">
        <f t="shared" si="0"/>
        <v>4420.3</v>
      </c>
    </row>
    <row r="27" spans="1:10" ht="38.25" x14ac:dyDescent="0.2">
      <c r="A27" s="1"/>
      <c r="B27" s="25"/>
      <c r="C27" s="16" t="s">
        <v>88</v>
      </c>
      <c r="D27" s="16" t="s">
        <v>93</v>
      </c>
      <c r="E27" s="79">
        <v>9990000000</v>
      </c>
      <c r="F27" s="16"/>
      <c r="G27" s="54" t="s">
        <v>28</v>
      </c>
      <c r="H27" s="41">
        <f t="shared" ref="H27" si="1">H28+H30</f>
        <v>4542.8</v>
      </c>
      <c r="I27" s="41">
        <f t="shared" ref="I27:J27" si="2">I28+I30</f>
        <v>4420.3</v>
      </c>
      <c r="J27" s="41">
        <f t="shared" si="2"/>
        <v>4420.3</v>
      </c>
    </row>
    <row r="28" spans="1:10" x14ac:dyDescent="0.2">
      <c r="A28" s="1"/>
      <c r="B28" s="25"/>
      <c r="C28" s="16" t="s">
        <v>88</v>
      </c>
      <c r="D28" s="16" t="s">
        <v>93</v>
      </c>
      <c r="E28" s="79">
        <v>9990022400</v>
      </c>
      <c r="F28" s="16"/>
      <c r="G28" s="98" t="s">
        <v>139</v>
      </c>
      <c r="H28" s="41">
        <f>H29</f>
        <v>1714.7</v>
      </c>
      <c r="I28" s="41">
        <f>I29</f>
        <v>1652.8</v>
      </c>
      <c r="J28" s="41">
        <f>J29</f>
        <v>1652.8</v>
      </c>
    </row>
    <row r="29" spans="1:10" ht="38.25" x14ac:dyDescent="0.2">
      <c r="A29" s="1"/>
      <c r="B29" s="25"/>
      <c r="C29" s="16" t="s">
        <v>88</v>
      </c>
      <c r="D29" s="16" t="s">
        <v>93</v>
      </c>
      <c r="E29" s="79">
        <v>9990022400</v>
      </c>
      <c r="F29" s="16" t="s">
        <v>62</v>
      </c>
      <c r="G29" s="55" t="s">
        <v>63</v>
      </c>
      <c r="H29" s="39">
        <f>1652.8+61.9</f>
        <v>1714.7</v>
      </c>
      <c r="I29" s="39">
        <v>1652.8</v>
      </c>
      <c r="J29" s="39">
        <v>1652.8</v>
      </c>
    </row>
    <row r="30" spans="1:10" ht="25.5" x14ac:dyDescent="0.2">
      <c r="A30" s="1"/>
      <c r="B30" s="25"/>
      <c r="C30" s="16" t="s">
        <v>88</v>
      </c>
      <c r="D30" s="16" t="s">
        <v>93</v>
      </c>
      <c r="E30" s="79">
        <v>9990022500</v>
      </c>
      <c r="F30" s="21"/>
      <c r="G30" s="99" t="s">
        <v>589</v>
      </c>
      <c r="H30" s="41">
        <f>SUM(H31:H32)</f>
        <v>2828.1</v>
      </c>
      <c r="I30" s="41">
        <f>SUM(I31:I32)</f>
        <v>2767.5</v>
      </c>
      <c r="J30" s="41">
        <f>SUM(J31:J32)</f>
        <v>2767.5</v>
      </c>
    </row>
    <row r="31" spans="1:10" ht="38.25" x14ac:dyDescent="0.2">
      <c r="A31" s="1"/>
      <c r="B31" s="25"/>
      <c r="C31" s="16" t="s">
        <v>88</v>
      </c>
      <c r="D31" s="16" t="s">
        <v>93</v>
      </c>
      <c r="E31" s="79">
        <v>9990022500</v>
      </c>
      <c r="F31" s="16" t="s">
        <v>62</v>
      </c>
      <c r="G31" s="55" t="s">
        <v>63</v>
      </c>
      <c r="H31" s="39">
        <f>2650.5+60.6</f>
        <v>2711.1</v>
      </c>
      <c r="I31" s="39">
        <v>2650.5</v>
      </c>
      <c r="J31" s="39">
        <v>2650.5</v>
      </c>
    </row>
    <row r="32" spans="1:10" ht="38.25" x14ac:dyDescent="0.2">
      <c r="A32" s="1"/>
      <c r="B32" s="25"/>
      <c r="C32" s="16" t="s">
        <v>88</v>
      </c>
      <c r="D32" s="16" t="s">
        <v>93</v>
      </c>
      <c r="E32" s="79">
        <v>9990022500</v>
      </c>
      <c r="F32" s="82" t="s">
        <v>211</v>
      </c>
      <c r="G32" s="98" t="s">
        <v>212</v>
      </c>
      <c r="H32" s="39">
        <f>117+150-150</f>
        <v>117</v>
      </c>
      <c r="I32" s="39">
        <v>117</v>
      </c>
      <c r="J32" s="39">
        <v>117</v>
      </c>
    </row>
    <row r="33" spans="1:10" ht="47.25" x14ac:dyDescent="0.25">
      <c r="A33" s="1"/>
      <c r="B33" s="91">
        <v>939</v>
      </c>
      <c r="C33" s="13"/>
      <c r="D33" s="13"/>
      <c r="E33" s="13"/>
      <c r="F33" s="13"/>
      <c r="G33" s="10" t="s">
        <v>200</v>
      </c>
      <c r="H33" s="92">
        <f t="shared" ref="H33:J33" si="3">H34</f>
        <v>2075.5</v>
      </c>
      <c r="I33" s="92">
        <f t="shared" si="3"/>
        <v>1964.2</v>
      </c>
      <c r="J33" s="92">
        <f t="shared" si="3"/>
        <v>1964.2</v>
      </c>
    </row>
    <row r="34" spans="1:10" ht="18" customHeight="1" x14ac:dyDescent="0.25">
      <c r="A34" s="1"/>
      <c r="B34" s="91"/>
      <c r="C34" s="4" t="s">
        <v>88</v>
      </c>
      <c r="D34" s="11"/>
      <c r="E34" s="11"/>
      <c r="F34" s="11"/>
      <c r="G34" s="49" t="s">
        <v>91</v>
      </c>
      <c r="H34" s="92">
        <f t="shared" ref="H34:J34" si="4">H35</f>
        <v>2075.5</v>
      </c>
      <c r="I34" s="92">
        <f t="shared" si="4"/>
        <v>1964.2</v>
      </c>
      <c r="J34" s="92">
        <f t="shared" si="4"/>
        <v>1964.2</v>
      </c>
    </row>
    <row r="35" spans="1:10" ht="49.5" customHeight="1" x14ac:dyDescent="0.2">
      <c r="A35" s="1"/>
      <c r="B35" s="24"/>
      <c r="C35" s="30" t="s">
        <v>88</v>
      </c>
      <c r="D35" s="30" t="s">
        <v>96</v>
      </c>
      <c r="E35" s="31"/>
      <c r="F35" s="31"/>
      <c r="G35" s="46" t="s">
        <v>125</v>
      </c>
      <c r="H35" s="93">
        <f t="shared" ref="H35:J35" si="5">H36</f>
        <v>2075.5</v>
      </c>
      <c r="I35" s="93">
        <f t="shared" si="5"/>
        <v>1964.2</v>
      </c>
      <c r="J35" s="93">
        <f t="shared" si="5"/>
        <v>1964.2</v>
      </c>
    </row>
    <row r="36" spans="1:10" ht="38.25" x14ac:dyDescent="0.2">
      <c r="A36" s="1"/>
      <c r="B36" s="24"/>
      <c r="C36" s="16" t="s">
        <v>88</v>
      </c>
      <c r="D36" s="82" t="s">
        <v>96</v>
      </c>
      <c r="E36" s="79">
        <v>9990000000</v>
      </c>
      <c r="F36" s="16"/>
      <c r="G36" s="54" t="s">
        <v>28</v>
      </c>
      <c r="H36" s="39">
        <f>H37+H39</f>
        <v>2075.5</v>
      </c>
      <c r="I36" s="39">
        <f t="shared" ref="I36:J36" si="6">I37+I39</f>
        <v>1964.2</v>
      </c>
      <c r="J36" s="39">
        <f t="shared" si="6"/>
        <v>1964.2</v>
      </c>
    </row>
    <row r="37" spans="1:10" ht="25.5" x14ac:dyDescent="0.2">
      <c r="A37" s="1"/>
      <c r="B37" s="24"/>
      <c r="C37" s="16" t="s">
        <v>88</v>
      </c>
      <c r="D37" s="16" t="s">
        <v>96</v>
      </c>
      <c r="E37" s="79">
        <v>9990022350</v>
      </c>
      <c r="F37" s="16"/>
      <c r="G37" s="98" t="s">
        <v>662</v>
      </c>
      <c r="H37" s="39">
        <f>H38</f>
        <v>1347.8000000000002</v>
      </c>
      <c r="I37" s="39">
        <f t="shared" ref="I37:J37" si="7">I38</f>
        <v>1291.4000000000001</v>
      </c>
      <c r="J37" s="39">
        <f t="shared" si="7"/>
        <v>1291.4000000000001</v>
      </c>
    </row>
    <row r="38" spans="1:10" ht="38.25" x14ac:dyDescent="0.2">
      <c r="A38" s="1"/>
      <c r="B38" s="24"/>
      <c r="C38" s="16" t="s">
        <v>88</v>
      </c>
      <c r="D38" s="16" t="s">
        <v>96</v>
      </c>
      <c r="E38" s="79">
        <v>9990022350</v>
      </c>
      <c r="F38" s="16" t="s">
        <v>62</v>
      </c>
      <c r="G38" s="99" t="s">
        <v>78</v>
      </c>
      <c r="H38" s="39">
        <f>1291.4+56.4</f>
        <v>1347.8000000000002</v>
      </c>
      <c r="I38" s="39">
        <v>1291.4000000000001</v>
      </c>
      <c r="J38" s="39">
        <v>1291.4000000000001</v>
      </c>
    </row>
    <row r="39" spans="1:10" ht="25.5" x14ac:dyDescent="0.2">
      <c r="A39" s="1"/>
      <c r="B39" s="25"/>
      <c r="C39" s="16" t="s">
        <v>88</v>
      </c>
      <c r="D39" s="82" t="s">
        <v>96</v>
      </c>
      <c r="E39" s="79">
        <v>9990022300</v>
      </c>
      <c r="F39" s="21"/>
      <c r="G39" s="99" t="s">
        <v>200</v>
      </c>
      <c r="H39" s="41">
        <f>H40+H41</f>
        <v>727.69999999999993</v>
      </c>
      <c r="I39" s="41">
        <f>I40+I41</f>
        <v>672.8</v>
      </c>
      <c r="J39" s="41">
        <f>J40+J41</f>
        <v>672.8</v>
      </c>
    </row>
    <row r="40" spans="1:10" ht="38.25" x14ac:dyDescent="0.2">
      <c r="A40" s="1"/>
      <c r="B40" s="25"/>
      <c r="C40" s="16" t="s">
        <v>88</v>
      </c>
      <c r="D40" s="82" t="s">
        <v>96</v>
      </c>
      <c r="E40" s="79">
        <v>9990022300</v>
      </c>
      <c r="F40" s="16" t="s">
        <v>62</v>
      </c>
      <c r="G40" s="99" t="s">
        <v>78</v>
      </c>
      <c r="H40" s="39">
        <f>694.3+30.4-15.8</f>
        <v>708.9</v>
      </c>
      <c r="I40" s="39">
        <v>669.3</v>
      </c>
      <c r="J40" s="39">
        <v>669.3</v>
      </c>
    </row>
    <row r="41" spans="1:10" ht="38.25" x14ac:dyDescent="0.2">
      <c r="A41" s="1"/>
      <c r="B41" s="25"/>
      <c r="C41" s="16" t="s">
        <v>88</v>
      </c>
      <c r="D41" s="82" t="s">
        <v>96</v>
      </c>
      <c r="E41" s="79">
        <v>9990022300</v>
      </c>
      <c r="F41" s="82" t="s">
        <v>211</v>
      </c>
      <c r="G41" s="98" t="s">
        <v>212</v>
      </c>
      <c r="H41" s="39">
        <f>50.1-47.1+15.8</f>
        <v>18.8</v>
      </c>
      <c r="I41" s="39">
        <v>3.5</v>
      </c>
      <c r="J41" s="39">
        <v>3.5</v>
      </c>
    </row>
    <row r="42" spans="1:10" s="8" customFormat="1" ht="54" x14ac:dyDescent="0.25">
      <c r="A42" s="3">
        <v>2</v>
      </c>
      <c r="B42" s="91">
        <v>937</v>
      </c>
      <c r="C42" s="13"/>
      <c r="D42" s="13"/>
      <c r="E42" s="13"/>
      <c r="F42" s="13"/>
      <c r="G42" s="14" t="s">
        <v>196</v>
      </c>
      <c r="H42" s="59">
        <f>H43+H109+H153+H260+H428+H459</f>
        <v>885604.79999999981</v>
      </c>
      <c r="I42" s="59">
        <f>I43+I109+I153+I260+I428+I459</f>
        <v>363896.3</v>
      </c>
      <c r="J42" s="59">
        <f>J43+J109+J153+J260+J428+J459</f>
        <v>359479.00000000006</v>
      </c>
    </row>
    <row r="43" spans="1:10" ht="15.75" x14ac:dyDescent="0.25">
      <c r="A43" s="3"/>
      <c r="B43" s="91"/>
      <c r="C43" s="4" t="s">
        <v>88</v>
      </c>
      <c r="D43" s="11"/>
      <c r="E43" s="11"/>
      <c r="F43" s="11"/>
      <c r="G43" s="15" t="s">
        <v>91</v>
      </c>
      <c r="H43" s="92">
        <f>H44+H49+H59+H64</f>
        <v>279225.19999999995</v>
      </c>
      <c r="I43" s="92">
        <f>I44+I49+I59+I64</f>
        <v>107510.7</v>
      </c>
      <c r="J43" s="92">
        <f>J44+J49+J59+J64</f>
        <v>107582.20000000001</v>
      </c>
    </row>
    <row r="44" spans="1:10" ht="51.75" x14ac:dyDescent="0.25">
      <c r="A44" s="3"/>
      <c r="B44" s="91"/>
      <c r="C44" s="30" t="s">
        <v>88</v>
      </c>
      <c r="D44" s="30" t="s">
        <v>89</v>
      </c>
      <c r="E44" s="30"/>
      <c r="F44" s="30"/>
      <c r="G44" s="46" t="s">
        <v>17</v>
      </c>
      <c r="H44" s="40">
        <f t="shared" ref="H44:J44" si="8">H45</f>
        <v>2787.2000000000003</v>
      </c>
      <c r="I44" s="40">
        <f t="shared" si="8"/>
        <v>2266.3000000000002</v>
      </c>
      <c r="J44" s="40">
        <f t="shared" si="8"/>
        <v>2266.3000000000002</v>
      </c>
    </row>
    <row r="45" spans="1:10" ht="25.5" x14ac:dyDescent="0.25">
      <c r="A45" s="3"/>
      <c r="B45" s="91"/>
      <c r="C45" s="16" t="s">
        <v>88</v>
      </c>
      <c r="D45" s="16" t="s">
        <v>89</v>
      </c>
      <c r="E45" s="79">
        <v>9900000000</v>
      </c>
      <c r="F45" s="16"/>
      <c r="G45" s="55" t="s">
        <v>144</v>
      </c>
      <c r="H45" s="41">
        <f t="shared" ref="H45" si="9">H47</f>
        <v>2787.2000000000003</v>
      </c>
      <c r="I45" s="41">
        <f t="shared" ref="I45:J45" si="10">I47</f>
        <v>2266.3000000000002</v>
      </c>
      <c r="J45" s="41">
        <f t="shared" si="10"/>
        <v>2266.3000000000002</v>
      </c>
    </row>
    <row r="46" spans="1:10" ht="38.25" x14ac:dyDescent="0.25">
      <c r="A46" s="3"/>
      <c r="B46" s="91"/>
      <c r="C46" s="16" t="s">
        <v>88</v>
      </c>
      <c r="D46" s="16" t="s">
        <v>89</v>
      </c>
      <c r="E46" s="79">
        <v>9980000000</v>
      </c>
      <c r="F46" s="16"/>
      <c r="G46" s="54" t="s">
        <v>29</v>
      </c>
      <c r="H46" s="41">
        <f>H47</f>
        <v>2787.2000000000003</v>
      </c>
      <c r="I46" s="41">
        <f>I47</f>
        <v>2266.3000000000002</v>
      </c>
      <c r="J46" s="41">
        <f>J47</f>
        <v>2266.3000000000002</v>
      </c>
    </row>
    <row r="47" spans="1:10" ht="15.75" x14ac:dyDescent="0.25">
      <c r="A47" s="3"/>
      <c r="B47" s="91"/>
      <c r="C47" s="16" t="s">
        <v>88</v>
      </c>
      <c r="D47" s="16" t="s">
        <v>89</v>
      </c>
      <c r="E47" s="79">
        <v>9980022100</v>
      </c>
      <c r="F47" s="16"/>
      <c r="G47" s="99" t="s">
        <v>114</v>
      </c>
      <c r="H47" s="39">
        <f>H48</f>
        <v>2787.2000000000003</v>
      </c>
      <c r="I47" s="39">
        <f t="shared" ref="I47:J47" si="11">I48</f>
        <v>2266.3000000000002</v>
      </c>
      <c r="J47" s="39">
        <f t="shared" si="11"/>
        <v>2266.3000000000002</v>
      </c>
    </row>
    <row r="48" spans="1:10" ht="39" x14ac:dyDescent="0.25">
      <c r="A48" s="3"/>
      <c r="B48" s="91"/>
      <c r="C48" s="16" t="s">
        <v>88</v>
      </c>
      <c r="D48" s="16" t="s">
        <v>89</v>
      </c>
      <c r="E48" s="79">
        <v>9980022100</v>
      </c>
      <c r="F48" s="16" t="s">
        <v>62</v>
      </c>
      <c r="G48" s="99" t="s">
        <v>78</v>
      </c>
      <c r="H48" s="39">
        <f>2266.3+81.4+439.5</f>
        <v>2787.2000000000003</v>
      </c>
      <c r="I48" s="39">
        <v>2266.3000000000002</v>
      </c>
      <c r="J48" s="39">
        <v>2266.3000000000002</v>
      </c>
    </row>
    <row r="49" spans="1:10" s="26" customFormat="1" ht="76.5" x14ac:dyDescent="0.2">
      <c r="A49" s="23"/>
      <c r="B49" s="24"/>
      <c r="C49" s="30" t="s">
        <v>88</v>
      </c>
      <c r="D49" s="30" t="s">
        <v>94</v>
      </c>
      <c r="E49" s="30"/>
      <c r="F49" s="30"/>
      <c r="G49" s="46" t="s">
        <v>124</v>
      </c>
      <c r="H49" s="40">
        <f t="shared" ref="H49:J49" si="12">H50</f>
        <v>58005.099999999984</v>
      </c>
      <c r="I49" s="40">
        <f t="shared" si="12"/>
        <v>56289.899999999994</v>
      </c>
      <c r="J49" s="40">
        <f t="shared" si="12"/>
        <v>56293.7</v>
      </c>
    </row>
    <row r="50" spans="1:10" ht="25.5" x14ac:dyDescent="0.2">
      <c r="A50" s="1"/>
      <c r="B50" s="25"/>
      <c r="C50" s="16" t="s">
        <v>88</v>
      </c>
      <c r="D50" s="16" t="s">
        <v>94</v>
      </c>
      <c r="E50" s="79">
        <v>9900000000</v>
      </c>
      <c r="F50" s="16"/>
      <c r="G50" s="55" t="s">
        <v>144</v>
      </c>
      <c r="H50" s="39">
        <f>H51+H54</f>
        <v>58005.099999999984</v>
      </c>
      <c r="I50" s="39">
        <f>I51+I54</f>
        <v>56289.899999999994</v>
      </c>
      <c r="J50" s="39">
        <f>J51+J54</f>
        <v>56293.7</v>
      </c>
    </row>
    <row r="51" spans="1:10" ht="25.5" x14ac:dyDescent="0.2">
      <c r="A51" s="1"/>
      <c r="B51" s="25"/>
      <c r="C51" s="16" t="s">
        <v>88</v>
      </c>
      <c r="D51" s="16" t="s">
        <v>94</v>
      </c>
      <c r="E51" s="79">
        <v>9930000000</v>
      </c>
      <c r="F51" s="16"/>
      <c r="G51" s="22" t="s">
        <v>40</v>
      </c>
      <c r="H51" s="39">
        <f t="shared" ref="H51:J52" si="13">H52</f>
        <v>478.1</v>
      </c>
      <c r="I51" s="39">
        <f t="shared" si="13"/>
        <v>481.7</v>
      </c>
      <c r="J51" s="39">
        <f t="shared" si="13"/>
        <v>485.5</v>
      </c>
    </row>
    <row r="52" spans="1:10" ht="63.75" x14ac:dyDescent="0.2">
      <c r="A52" s="1"/>
      <c r="B52" s="25"/>
      <c r="C52" s="16" t="s">
        <v>88</v>
      </c>
      <c r="D52" s="16" t="s">
        <v>94</v>
      </c>
      <c r="E52" s="79">
        <v>9930010510</v>
      </c>
      <c r="F52" s="16"/>
      <c r="G52" s="22" t="s">
        <v>15</v>
      </c>
      <c r="H52" s="39">
        <f>H53</f>
        <v>478.1</v>
      </c>
      <c r="I52" s="39">
        <f t="shared" si="13"/>
        <v>481.7</v>
      </c>
      <c r="J52" s="39">
        <f t="shared" si="13"/>
        <v>485.5</v>
      </c>
    </row>
    <row r="53" spans="1:10" ht="38.25" x14ac:dyDescent="0.2">
      <c r="A53" s="1"/>
      <c r="B53" s="25"/>
      <c r="C53" s="16" t="s">
        <v>88</v>
      </c>
      <c r="D53" s="16" t="s">
        <v>94</v>
      </c>
      <c r="E53" s="79">
        <v>9930010510</v>
      </c>
      <c r="F53" s="16" t="s">
        <v>62</v>
      </c>
      <c r="G53" s="102" t="s">
        <v>63</v>
      </c>
      <c r="H53" s="39">
        <v>478.1</v>
      </c>
      <c r="I53" s="39">
        <v>481.7</v>
      </c>
      <c r="J53" s="39">
        <v>485.5</v>
      </c>
    </row>
    <row r="54" spans="1:10" ht="38.25" x14ac:dyDescent="0.2">
      <c r="A54" s="1"/>
      <c r="B54" s="25"/>
      <c r="C54" s="16" t="s">
        <v>88</v>
      </c>
      <c r="D54" s="16" t="s">
        <v>94</v>
      </c>
      <c r="E54" s="79">
        <v>9980000000</v>
      </c>
      <c r="F54" s="16"/>
      <c r="G54" s="54" t="s">
        <v>29</v>
      </c>
      <c r="H54" s="39">
        <f t="shared" ref="H54:J54" si="14">H55</f>
        <v>57526.999999999985</v>
      </c>
      <c r="I54" s="39">
        <f t="shared" si="14"/>
        <v>55808.2</v>
      </c>
      <c r="J54" s="39">
        <f t="shared" si="14"/>
        <v>55808.2</v>
      </c>
    </row>
    <row r="55" spans="1:10" x14ac:dyDescent="0.2">
      <c r="A55" s="1"/>
      <c r="B55" s="25"/>
      <c r="C55" s="16" t="s">
        <v>88</v>
      </c>
      <c r="D55" s="16" t="s">
        <v>94</v>
      </c>
      <c r="E55" s="138">
        <v>9980022200</v>
      </c>
      <c r="F55" s="21"/>
      <c r="G55" s="99" t="s">
        <v>115</v>
      </c>
      <c r="H55" s="39">
        <f>SUM(H56:H58)</f>
        <v>57526.999999999985</v>
      </c>
      <c r="I55" s="39">
        <f t="shared" ref="I55:J55" si="15">SUM(I56:I58)</f>
        <v>55808.2</v>
      </c>
      <c r="J55" s="39">
        <f t="shared" si="15"/>
        <v>55808.2</v>
      </c>
    </row>
    <row r="56" spans="1:10" ht="38.25" x14ac:dyDescent="0.2">
      <c r="A56" s="1"/>
      <c r="B56" s="25"/>
      <c r="C56" s="16" t="s">
        <v>88</v>
      </c>
      <c r="D56" s="16" t="s">
        <v>94</v>
      </c>
      <c r="E56" s="138">
        <v>9980022200</v>
      </c>
      <c r="F56" s="16" t="s">
        <v>62</v>
      </c>
      <c r="G56" s="55" t="s">
        <v>63</v>
      </c>
      <c r="H56" s="39">
        <f>53934.1+1687.7-27.8-40-25.4</f>
        <v>55528.599999999991</v>
      </c>
      <c r="I56" s="39">
        <v>53934.1</v>
      </c>
      <c r="J56" s="39">
        <v>53934.1</v>
      </c>
    </row>
    <row r="57" spans="1:10" ht="38.25" x14ac:dyDescent="0.2">
      <c r="A57" s="1"/>
      <c r="B57" s="25"/>
      <c r="C57" s="16" t="s">
        <v>88</v>
      </c>
      <c r="D57" s="16" t="s">
        <v>94</v>
      </c>
      <c r="E57" s="138">
        <v>9980022200</v>
      </c>
      <c r="F57" s="82" t="s">
        <v>211</v>
      </c>
      <c r="G57" s="98" t="s">
        <v>212</v>
      </c>
      <c r="H57" s="39">
        <f>1874.1+71.1</f>
        <v>1945.1999999999998</v>
      </c>
      <c r="I57" s="39">
        <v>1874.1</v>
      </c>
      <c r="J57" s="39">
        <v>1874.1</v>
      </c>
    </row>
    <row r="58" spans="1:10" ht="38.25" x14ac:dyDescent="0.2">
      <c r="A58" s="1"/>
      <c r="B58" s="25"/>
      <c r="C58" s="16" t="s">
        <v>88</v>
      </c>
      <c r="D58" s="16" t="s">
        <v>94</v>
      </c>
      <c r="E58" s="138">
        <v>9980022200</v>
      </c>
      <c r="F58" s="82" t="s">
        <v>260</v>
      </c>
      <c r="G58" s="98" t="s">
        <v>249</v>
      </c>
      <c r="H58" s="39">
        <f>27.8+25.4</f>
        <v>53.2</v>
      </c>
      <c r="I58" s="39">
        <v>0</v>
      </c>
      <c r="J58" s="39">
        <v>0</v>
      </c>
    </row>
    <row r="59" spans="1:10" ht="14.25" x14ac:dyDescent="0.2">
      <c r="A59" s="1"/>
      <c r="B59" s="25"/>
      <c r="C59" s="35" t="s">
        <v>88</v>
      </c>
      <c r="D59" s="35" t="s">
        <v>95</v>
      </c>
      <c r="E59" s="35"/>
      <c r="F59" s="35"/>
      <c r="G59" s="46" t="s">
        <v>288</v>
      </c>
      <c r="H59" s="42">
        <f t="shared" ref="H59:J59" si="16">SUM(H60)</f>
        <v>8.3000000000000007</v>
      </c>
      <c r="I59" s="42">
        <f t="shared" si="16"/>
        <v>8.6</v>
      </c>
      <c r="J59" s="42">
        <f t="shared" si="16"/>
        <v>98</v>
      </c>
    </row>
    <row r="60" spans="1:10" ht="25.5" x14ac:dyDescent="0.2">
      <c r="A60" s="1"/>
      <c r="B60" s="25"/>
      <c r="C60" s="16" t="s">
        <v>88</v>
      </c>
      <c r="D60" s="82" t="s">
        <v>95</v>
      </c>
      <c r="E60" s="79">
        <v>9900000000</v>
      </c>
      <c r="F60" s="16"/>
      <c r="G60" s="55" t="s">
        <v>145</v>
      </c>
      <c r="H60" s="39">
        <f t="shared" ref="H60:J62" si="17">H61</f>
        <v>8.3000000000000007</v>
      </c>
      <c r="I60" s="39">
        <f t="shared" si="17"/>
        <v>8.6</v>
      </c>
      <c r="J60" s="39">
        <f t="shared" si="17"/>
        <v>98</v>
      </c>
    </row>
    <row r="61" spans="1:10" ht="25.5" x14ac:dyDescent="0.2">
      <c r="A61" s="1"/>
      <c r="B61" s="25"/>
      <c r="C61" s="16" t="s">
        <v>88</v>
      </c>
      <c r="D61" s="82" t="s">
        <v>95</v>
      </c>
      <c r="E61" s="79">
        <v>9930000000</v>
      </c>
      <c r="F61" s="16"/>
      <c r="G61" s="22" t="s">
        <v>40</v>
      </c>
      <c r="H61" s="39">
        <f t="shared" si="17"/>
        <v>8.3000000000000007</v>
      </c>
      <c r="I61" s="39">
        <f t="shared" si="17"/>
        <v>8.6</v>
      </c>
      <c r="J61" s="39">
        <f t="shared" si="17"/>
        <v>98</v>
      </c>
    </row>
    <row r="62" spans="1:10" ht="63.75" x14ac:dyDescent="0.2">
      <c r="A62" s="1"/>
      <c r="B62" s="25"/>
      <c r="C62" s="16" t="s">
        <v>88</v>
      </c>
      <c r="D62" s="82" t="s">
        <v>95</v>
      </c>
      <c r="E62" s="79">
        <v>9930051200</v>
      </c>
      <c r="F62" s="16"/>
      <c r="G62" s="54" t="s">
        <v>281</v>
      </c>
      <c r="H62" s="107">
        <f t="shared" si="17"/>
        <v>8.3000000000000007</v>
      </c>
      <c r="I62" s="39">
        <f t="shared" si="17"/>
        <v>8.6</v>
      </c>
      <c r="J62" s="39">
        <f t="shared" si="17"/>
        <v>98</v>
      </c>
    </row>
    <row r="63" spans="1:10" ht="38.25" x14ac:dyDescent="0.2">
      <c r="A63" s="1"/>
      <c r="B63" s="25"/>
      <c r="C63" s="16" t="s">
        <v>88</v>
      </c>
      <c r="D63" s="82" t="s">
        <v>95</v>
      </c>
      <c r="E63" s="79">
        <v>9930051200</v>
      </c>
      <c r="F63" s="82" t="s">
        <v>211</v>
      </c>
      <c r="G63" s="98" t="s">
        <v>212</v>
      </c>
      <c r="H63" s="107">
        <v>8.3000000000000007</v>
      </c>
      <c r="I63" s="107">
        <v>8.6</v>
      </c>
      <c r="J63" s="107">
        <v>98</v>
      </c>
    </row>
    <row r="64" spans="1:10" s="26" customFormat="1" ht="17.25" customHeight="1" x14ac:dyDescent="0.2">
      <c r="A64" s="23"/>
      <c r="B64" s="24"/>
      <c r="C64" s="30" t="s">
        <v>88</v>
      </c>
      <c r="D64" s="30" t="s">
        <v>9</v>
      </c>
      <c r="E64" s="33"/>
      <c r="F64" s="33"/>
      <c r="G64" s="46" t="s">
        <v>97</v>
      </c>
      <c r="H64" s="40">
        <f>H65+H90</f>
        <v>218424.59999999998</v>
      </c>
      <c r="I64" s="40">
        <f>I65+I90</f>
        <v>48945.9</v>
      </c>
      <c r="J64" s="40">
        <f>J65+J90</f>
        <v>48924.200000000004</v>
      </c>
    </row>
    <row r="65" spans="1:10" ht="89.25" x14ac:dyDescent="0.2">
      <c r="A65" s="1"/>
      <c r="B65" s="25"/>
      <c r="C65" s="16" t="s">
        <v>88</v>
      </c>
      <c r="D65" s="16" t="s">
        <v>9</v>
      </c>
      <c r="E65" s="73" t="s">
        <v>69</v>
      </c>
      <c r="F65" s="16"/>
      <c r="G65" s="142" t="s">
        <v>576</v>
      </c>
      <c r="H65" s="96">
        <f t="shared" ref="H65:J65" si="18">H66</f>
        <v>165091.49999999997</v>
      </c>
      <c r="I65" s="96">
        <f t="shared" si="18"/>
        <v>7940</v>
      </c>
      <c r="J65" s="96">
        <f t="shared" si="18"/>
        <v>7916.2</v>
      </c>
    </row>
    <row r="66" spans="1:10" ht="38.25" x14ac:dyDescent="0.2">
      <c r="A66" s="1"/>
      <c r="B66" s="25"/>
      <c r="C66" s="16" t="s">
        <v>88</v>
      </c>
      <c r="D66" s="16" t="s">
        <v>9</v>
      </c>
      <c r="E66" s="52" t="s">
        <v>70</v>
      </c>
      <c r="F66" s="16"/>
      <c r="G66" s="48" t="s">
        <v>157</v>
      </c>
      <c r="H66" s="93">
        <f>H67+H70</f>
        <v>165091.49999999997</v>
      </c>
      <c r="I66" s="93">
        <f t="shared" ref="I66:J66" si="19">I67+I70</f>
        <v>7940</v>
      </c>
      <c r="J66" s="93">
        <f t="shared" si="19"/>
        <v>7916.2</v>
      </c>
    </row>
    <row r="67" spans="1:10" ht="38.25" x14ac:dyDescent="0.2">
      <c r="A67" s="1"/>
      <c r="B67" s="25"/>
      <c r="C67" s="16" t="s">
        <v>88</v>
      </c>
      <c r="D67" s="16" t="s">
        <v>9</v>
      </c>
      <c r="E67" s="21" t="s">
        <v>242</v>
      </c>
      <c r="F67" s="16"/>
      <c r="G67" s="99" t="s">
        <v>243</v>
      </c>
      <c r="H67" s="39">
        <f t="shared" ref="H67:J68" si="20">H68</f>
        <v>250</v>
      </c>
      <c r="I67" s="39">
        <f t="shared" si="20"/>
        <v>250</v>
      </c>
      <c r="J67" s="39">
        <f t="shared" si="20"/>
        <v>250</v>
      </c>
    </row>
    <row r="68" spans="1:10" ht="38.25" x14ac:dyDescent="0.2">
      <c r="A68" s="1"/>
      <c r="B68" s="25"/>
      <c r="C68" s="16" t="s">
        <v>88</v>
      </c>
      <c r="D68" s="16" t="s">
        <v>9</v>
      </c>
      <c r="E68" s="82" t="s">
        <v>457</v>
      </c>
      <c r="F68" s="16"/>
      <c r="G68" s="97" t="s">
        <v>158</v>
      </c>
      <c r="H68" s="41">
        <f t="shared" si="20"/>
        <v>250</v>
      </c>
      <c r="I68" s="41">
        <f t="shared" si="20"/>
        <v>250</v>
      </c>
      <c r="J68" s="41">
        <f t="shared" si="20"/>
        <v>250</v>
      </c>
    </row>
    <row r="69" spans="1:10" ht="38.25" x14ac:dyDescent="0.2">
      <c r="A69" s="1"/>
      <c r="B69" s="25"/>
      <c r="C69" s="16" t="s">
        <v>88</v>
      </c>
      <c r="D69" s="16" t="s">
        <v>9</v>
      </c>
      <c r="E69" s="82" t="s">
        <v>457</v>
      </c>
      <c r="F69" s="82" t="s">
        <v>211</v>
      </c>
      <c r="G69" s="98" t="s">
        <v>212</v>
      </c>
      <c r="H69" s="41">
        <v>250</v>
      </c>
      <c r="I69" s="41">
        <v>250</v>
      </c>
      <c r="J69" s="41">
        <v>250</v>
      </c>
    </row>
    <row r="70" spans="1:10" ht="63.75" x14ac:dyDescent="0.2">
      <c r="A70" s="1"/>
      <c r="B70" s="25"/>
      <c r="C70" s="16" t="s">
        <v>88</v>
      </c>
      <c r="D70" s="16" t="s">
        <v>9</v>
      </c>
      <c r="E70" s="21" t="s">
        <v>244</v>
      </c>
      <c r="F70" s="82"/>
      <c r="G70" s="99" t="s">
        <v>245</v>
      </c>
      <c r="H70" s="41">
        <f>H71+H73+H75+H78+H80+H82+H84+H86+H88</f>
        <v>164841.49999999997</v>
      </c>
      <c r="I70" s="41">
        <f t="shared" ref="I70:J70" si="21">I71+I73+I75+I78+I80+I82+I84+I86+I88</f>
        <v>7690</v>
      </c>
      <c r="J70" s="41">
        <f t="shared" si="21"/>
        <v>7666.2</v>
      </c>
    </row>
    <row r="71" spans="1:10" ht="51" x14ac:dyDescent="0.2">
      <c r="A71" s="1"/>
      <c r="B71" s="25"/>
      <c r="C71" s="16" t="s">
        <v>88</v>
      </c>
      <c r="D71" s="16" t="s">
        <v>9</v>
      </c>
      <c r="E71" s="135" t="s">
        <v>458</v>
      </c>
      <c r="F71" s="16"/>
      <c r="G71" s="97" t="s">
        <v>159</v>
      </c>
      <c r="H71" s="41">
        <f>H72</f>
        <v>100</v>
      </c>
      <c r="I71" s="41">
        <f>I72</f>
        <v>100</v>
      </c>
      <c r="J71" s="41">
        <f>J72</f>
        <v>100</v>
      </c>
    </row>
    <row r="72" spans="1:10" ht="38.25" x14ac:dyDescent="0.2">
      <c r="A72" s="1"/>
      <c r="B72" s="25"/>
      <c r="C72" s="16" t="s">
        <v>88</v>
      </c>
      <c r="D72" s="16" t="s">
        <v>9</v>
      </c>
      <c r="E72" s="135" t="s">
        <v>458</v>
      </c>
      <c r="F72" s="82" t="s">
        <v>211</v>
      </c>
      <c r="G72" s="98" t="s">
        <v>212</v>
      </c>
      <c r="H72" s="41">
        <v>100</v>
      </c>
      <c r="I72" s="41">
        <v>100</v>
      </c>
      <c r="J72" s="41">
        <v>100</v>
      </c>
    </row>
    <row r="73" spans="1:10" ht="76.5" x14ac:dyDescent="0.2">
      <c r="A73" s="1"/>
      <c r="B73" s="25"/>
      <c r="C73" s="16" t="s">
        <v>88</v>
      </c>
      <c r="D73" s="16" t="s">
        <v>9</v>
      </c>
      <c r="E73" s="135" t="s">
        <v>459</v>
      </c>
      <c r="F73" s="16"/>
      <c r="G73" s="97" t="s">
        <v>160</v>
      </c>
      <c r="H73" s="41">
        <f>H74</f>
        <v>173.5</v>
      </c>
      <c r="I73" s="41">
        <f>I74</f>
        <v>100</v>
      </c>
      <c r="J73" s="41">
        <f>J74</f>
        <v>100</v>
      </c>
    </row>
    <row r="74" spans="1:10" ht="38.25" x14ac:dyDescent="0.2">
      <c r="A74" s="1"/>
      <c r="B74" s="25"/>
      <c r="C74" s="16" t="s">
        <v>88</v>
      </c>
      <c r="D74" s="16" t="s">
        <v>9</v>
      </c>
      <c r="E74" s="135" t="s">
        <v>459</v>
      </c>
      <c r="F74" s="82" t="s">
        <v>211</v>
      </c>
      <c r="G74" s="98" t="s">
        <v>212</v>
      </c>
      <c r="H74" s="41">
        <v>173.5</v>
      </c>
      <c r="I74" s="41">
        <v>100</v>
      </c>
      <c r="J74" s="41">
        <v>100</v>
      </c>
    </row>
    <row r="75" spans="1:10" ht="38.25" x14ac:dyDescent="0.2">
      <c r="A75" s="1"/>
      <c r="B75" s="25"/>
      <c r="C75" s="16" t="s">
        <v>88</v>
      </c>
      <c r="D75" s="16" t="s">
        <v>9</v>
      </c>
      <c r="E75" s="74">
        <v>310223174</v>
      </c>
      <c r="F75" s="16"/>
      <c r="G75" s="97" t="s">
        <v>161</v>
      </c>
      <c r="H75" s="41">
        <f>SUM(H76:H77)</f>
        <v>13158.599999999999</v>
      </c>
      <c r="I75" s="41">
        <f t="shared" ref="I75:J75" si="22">SUM(I76:I77)</f>
        <v>7490</v>
      </c>
      <c r="J75" s="41">
        <f t="shared" si="22"/>
        <v>7466.2</v>
      </c>
    </row>
    <row r="76" spans="1:10" ht="38.25" x14ac:dyDescent="0.2">
      <c r="A76" s="1"/>
      <c r="B76" s="25"/>
      <c r="C76" s="16" t="s">
        <v>88</v>
      </c>
      <c r="D76" s="16" t="s">
        <v>9</v>
      </c>
      <c r="E76" s="74">
        <v>310223174</v>
      </c>
      <c r="F76" s="82" t="s">
        <v>211</v>
      </c>
      <c r="G76" s="98" t="s">
        <v>212</v>
      </c>
      <c r="H76" s="41">
        <f>9728.9+4.8+1000+2500-62.6+100-193.8</f>
        <v>13077.3</v>
      </c>
      <c r="I76" s="41">
        <v>7490</v>
      </c>
      <c r="J76" s="41">
        <v>7466.2</v>
      </c>
    </row>
    <row r="77" spans="1:10" ht="25.5" x14ac:dyDescent="0.2">
      <c r="A77" s="1"/>
      <c r="B77" s="25"/>
      <c r="C77" s="16" t="s">
        <v>88</v>
      </c>
      <c r="D77" s="16" t="s">
        <v>9</v>
      </c>
      <c r="E77" s="74">
        <v>310223174</v>
      </c>
      <c r="F77" s="82" t="s">
        <v>131</v>
      </c>
      <c r="G77" s="98" t="s">
        <v>132</v>
      </c>
      <c r="H77" s="41">
        <f>62.6+18.8-0.1</f>
        <v>81.300000000000011</v>
      </c>
      <c r="I77" s="41">
        <v>0</v>
      </c>
      <c r="J77" s="41">
        <v>0</v>
      </c>
    </row>
    <row r="78" spans="1:10" ht="49.5" customHeight="1" x14ac:dyDescent="0.2">
      <c r="A78" s="1"/>
      <c r="B78" s="25"/>
      <c r="C78" s="16" t="s">
        <v>88</v>
      </c>
      <c r="D78" s="16" t="s">
        <v>9</v>
      </c>
      <c r="E78" s="21" t="s">
        <v>733</v>
      </c>
      <c r="F78" s="35"/>
      <c r="G78" s="97" t="s">
        <v>765</v>
      </c>
      <c r="H78" s="1">
        <f>H79</f>
        <v>6352.2</v>
      </c>
      <c r="I78" s="39">
        <f t="shared" ref="I78:J78" si="23">I79</f>
        <v>0</v>
      </c>
      <c r="J78" s="39">
        <f t="shared" si="23"/>
        <v>0</v>
      </c>
    </row>
    <row r="79" spans="1:10" ht="38.25" x14ac:dyDescent="0.2">
      <c r="A79" s="1"/>
      <c r="B79" s="25"/>
      <c r="C79" s="16" t="s">
        <v>88</v>
      </c>
      <c r="D79" s="16" t="s">
        <v>9</v>
      </c>
      <c r="E79" s="21" t="s">
        <v>733</v>
      </c>
      <c r="F79" s="82" t="s">
        <v>211</v>
      </c>
      <c r="G79" s="98" t="s">
        <v>212</v>
      </c>
      <c r="H79" s="1">
        <f>6352.2</f>
        <v>6352.2</v>
      </c>
      <c r="I79" s="39">
        <v>0</v>
      </c>
      <c r="J79" s="39">
        <v>0</v>
      </c>
    </row>
    <row r="80" spans="1:10" ht="51" x14ac:dyDescent="0.2">
      <c r="A80" s="1"/>
      <c r="B80" s="25"/>
      <c r="C80" s="16" t="s">
        <v>88</v>
      </c>
      <c r="D80" s="16" t="s">
        <v>9</v>
      </c>
      <c r="E80" s="21" t="s">
        <v>732</v>
      </c>
      <c r="F80" s="82"/>
      <c r="G80" s="54" t="s">
        <v>728</v>
      </c>
      <c r="H80" s="41">
        <f>H81</f>
        <v>24876.3</v>
      </c>
      <c r="I80" s="41">
        <f t="shared" ref="I80:J80" si="24">I81</f>
        <v>0</v>
      </c>
      <c r="J80" s="41">
        <f t="shared" si="24"/>
        <v>0</v>
      </c>
    </row>
    <row r="81" spans="1:10" ht="38.25" x14ac:dyDescent="0.2">
      <c r="A81" s="1"/>
      <c r="B81" s="25"/>
      <c r="C81" s="16" t="s">
        <v>88</v>
      </c>
      <c r="D81" s="16" t="s">
        <v>9</v>
      </c>
      <c r="E81" s="21" t="s">
        <v>732</v>
      </c>
      <c r="F81" s="82" t="s">
        <v>211</v>
      </c>
      <c r="G81" s="98" t="s">
        <v>212</v>
      </c>
      <c r="H81" s="41">
        <f>25408.7-532.4</f>
        <v>24876.3</v>
      </c>
      <c r="I81" s="39">
        <v>0</v>
      </c>
      <c r="J81" s="39">
        <v>0</v>
      </c>
    </row>
    <row r="82" spans="1:10" ht="25.5" x14ac:dyDescent="0.2">
      <c r="A82" s="1"/>
      <c r="B82" s="25"/>
      <c r="C82" s="16" t="s">
        <v>88</v>
      </c>
      <c r="D82" s="16" t="s">
        <v>9</v>
      </c>
      <c r="E82" s="57" t="s">
        <v>778</v>
      </c>
      <c r="F82" s="21"/>
      <c r="G82" s="98" t="s">
        <v>777</v>
      </c>
      <c r="H82" s="41">
        <f>H83</f>
        <v>10273.1</v>
      </c>
      <c r="I82" s="41">
        <f t="shared" ref="I82:J82" si="25">I83</f>
        <v>0</v>
      </c>
      <c r="J82" s="41">
        <f t="shared" si="25"/>
        <v>0</v>
      </c>
    </row>
    <row r="83" spans="1:10" ht="38.25" x14ac:dyDescent="0.2">
      <c r="A83" s="1"/>
      <c r="B83" s="25"/>
      <c r="C83" s="16" t="s">
        <v>88</v>
      </c>
      <c r="D83" s="16" t="s">
        <v>9</v>
      </c>
      <c r="E83" s="57" t="s">
        <v>778</v>
      </c>
      <c r="F83" s="82" t="s">
        <v>211</v>
      </c>
      <c r="G83" s="98" t="s">
        <v>212</v>
      </c>
      <c r="H83" s="41">
        <f>1920.7+1188.8+1675.8+5487.8</f>
        <v>10273.1</v>
      </c>
      <c r="I83" s="39">
        <v>0</v>
      </c>
      <c r="J83" s="39">
        <v>0</v>
      </c>
    </row>
    <row r="84" spans="1:10" ht="38.25" x14ac:dyDescent="0.2">
      <c r="A84" s="1"/>
      <c r="B84" s="25"/>
      <c r="C84" s="16" t="s">
        <v>88</v>
      </c>
      <c r="D84" s="16" t="s">
        <v>9</v>
      </c>
      <c r="E84" s="162" t="s">
        <v>734</v>
      </c>
      <c r="F84" s="21"/>
      <c r="G84" s="98" t="s">
        <v>727</v>
      </c>
      <c r="H84" s="94">
        <f>H85</f>
        <v>101333.4</v>
      </c>
      <c r="I84" s="94">
        <f t="shared" ref="I84:J84" si="26">I85</f>
        <v>0</v>
      </c>
      <c r="J84" s="94">
        <f t="shared" si="26"/>
        <v>0</v>
      </c>
    </row>
    <row r="85" spans="1:10" ht="38.25" x14ac:dyDescent="0.2">
      <c r="A85" s="1"/>
      <c r="B85" s="25"/>
      <c r="C85" s="16" t="s">
        <v>88</v>
      </c>
      <c r="D85" s="16" t="s">
        <v>9</v>
      </c>
      <c r="E85" s="162" t="s">
        <v>734</v>
      </c>
      <c r="F85" s="82" t="s">
        <v>211</v>
      </c>
      <c r="G85" s="98" t="s">
        <v>212</v>
      </c>
      <c r="H85" s="94">
        <v>101333.4</v>
      </c>
      <c r="I85" s="41">
        <v>0</v>
      </c>
      <c r="J85" s="41">
        <v>0</v>
      </c>
    </row>
    <row r="86" spans="1:10" ht="51" x14ac:dyDescent="0.2">
      <c r="A86" s="1"/>
      <c r="B86" s="25"/>
      <c r="C86" s="16" t="s">
        <v>88</v>
      </c>
      <c r="D86" s="16" t="s">
        <v>9</v>
      </c>
      <c r="E86" s="162" t="s">
        <v>735</v>
      </c>
      <c r="F86" s="21"/>
      <c r="G86" s="98" t="s">
        <v>708</v>
      </c>
      <c r="H86" s="94">
        <f>H87</f>
        <v>3172.5</v>
      </c>
      <c r="I86" s="94">
        <f t="shared" ref="I86:J86" si="27">I87</f>
        <v>0</v>
      </c>
      <c r="J86" s="94">
        <f t="shared" si="27"/>
        <v>0</v>
      </c>
    </row>
    <row r="87" spans="1:10" ht="38.25" x14ac:dyDescent="0.2">
      <c r="A87" s="1"/>
      <c r="B87" s="25"/>
      <c r="C87" s="16" t="s">
        <v>88</v>
      </c>
      <c r="D87" s="16" t="s">
        <v>9</v>
      </c>
      <c r="E87" s="162" t="s">
        <v>735</v>
      </c>
      <c r="F87" s="82" t="s">
        <v>211</v>
      </c>
      <c r="G87" s="98" t="s">
        <v>212</v>
      </c>
      <c r="H87" s="94">
        <v>3172.5</v>
      </c>
      <c r="I87" s="41">
        <v>0</v>
      </c>
      <c r="J87" s="41">
        <v>0</v>
      </c>
    </row>
    <row r="88" spans="1:10" ht="51" x14ac:dyDescent="0.2">
      <c r="A88" s="1"/>
      <c r="B88" s="25"/>
      <c r="C88" s="16" t="s">
        <v>88</v>
      </c>
      <c r="D88" s="16" t="s">
        <v>9</v>
      </c>
      <c r="E88" s="162" t="s">
        <v>736</v>
      </c>
      <c r="F88" s="82"/>
      <c r="G88" s="98" t="s">
        <v>729</v>
      </c>
      <c r="H88" s="41">
        <f>H89</f>
        <v>5401.9</v>
      </c>
      <c r="I88" s="94">
        <f t="shared" ref="I88:J88" si="28">I89</f>
        <v>0</v>
      </c>
      <c r="J88" s="94">
        <f t="shared" si="28"/>
        <v>0</v>
      </c>
    </row>
    <row r="89" spans="1:10" ht="38.25" x14ac:dyDescent="0.2">
      <c r="A89" s="1"/>
      <c r="B89" s="25"/>
      <c r="C89" s="16" t="s">
        <v>88</v>
      </c>
      <c r="D89" s="16" t="s">
        <v>9</v>
      </c>
      <c r="E89" s="162" t="s">
        <v>736</v>
      </c>
      <c r="F89" s="82" t="s">
        <v>211</v>
      </c>
      <c r="G89" s="98" t="s">
        <v>212</v>
      </c>
      <c r="H89" s="41">
        <f>352.5+5049.4</f>
        <v>5401.9</v>
      </c>
      <c r="I89" s="41">
        <v>0</v>
      </c>
      <c r="J89" s="41">
        <v>0</v>
      </c>
    </row>
    <row r="90" spans="1:10" ht="25.5" x14ac:dyDescent="0.2">
      <c r="A90" s="1"/>
      <c r="B90" s="25"/>
      <c r="C90" s="5" t="s">
        <v>88</v>
      </c>
      <c r="D90" s="5" t="s">
        <v>9</v>
      </c>
      <c r="E90" s="83">
        <v>9900000000</v>
      </c>
      <c r="F90" s="5"/>
      <c r="G90" s="84" t="s">
        <v>144</v>
      </c>
      <c r="H90" s="96">
        <f>H91+H95+H100</f>
        <v>53333.100000000006</v>
      </c>
      <c r="I90" s="96">
        <f t="shared" ref="I90:J90" si="29">I91+I95+I100</f>
        <v>41005.9</v>
      </c>
      <c r="J90" s="96">
        <f t="shared" si="29"/>
        <v>41008.000000000007</v>
      </c>
    </row>
    <row r="91" spans="1:10" ht="25.5" x14ac:dyDescent="0.2">
      <c r="A91" s="1"/>
      <c r="B91" s="25"/>
      <c r="C91" s="16" t="s">
        <v>88</v>
      </c>
      <c r="D91" s="16" t="s">
        <v>9</v>
      </c>
      <c r="E91" s="79">
        <v>9930000000</v>
      </c>
      <c r="F91" s="16"/>
      <c r="G91" s="22" t="s">
        <v>40</v>
      </c>
      <c r="H91" s="39">
        <f>H92</f>
        <v>271.10000000000002</v>
      </c>
      <c r="I91" s="39">
        <f>I92</f>
        <v>273.2</v>
      </c>
      <c r="J91" s="39">
        <f t="shared" ref="J91" si="30">J92</f>
        <v>275.3</v>
      </c>
    </row>
    <row r="92" spans="1:10" ht="38.25" x14ac:dyDescent="0.2">
      <c r="A92" s="1"/>
      <c r="B92" s="25"/>
      <c r="C92" s="16" t="s">
        <v>88</v>
      </c>
      <c r="D92" s="16" t="s">
        <v>9</v>
      </c>
      <c r="E92" s="79">
        <v>9930010540</v>
      </c>
      <c r="F92" s="16"/>
      <c r="G92" s="22" t="s">
        <v>16</v>
      </c>
      <c r="H92" s="39">
        <f>H93+H94</f>
        <v>271.10000000000002</v>
      </c>
      <c r="I92" s="39">
        <f>I93+I94</f>
        <v>273.2</v>
      </c>
      <c r="J92" s="39">
        <f t="shared" ref="J92" si="31">J93+J94</f>
        <v>275.3</v>
      </c>
    </row>
    <row r="93" spans="1:10" ht="38.25" x14ac:dyDescent="0.2">
      <c r="A93" s="1"/>
      <c r="B93" s="25"/>
      <c r="C93" s="16" t="s">
        <v>88</v>
      </c>
      <c r="D93" s="16" t="s">
        <v>9</v>
      </c>
      <c r="E93" s="79">
        <v>9930010540</v>
      </c>
      <c r="F93" s="16" t="s">
        <v>62</v>
      </c>
      <c r="G93" s="102" t="s">
        <v>63</v>
      </c>
      <c r="H93" s="39">
        <v>254.9</v>
      </c>
      <c r="I93" s="39">
        <v>254.9</v>
      </c>
      <c r="J93" s="39">
        <v>254.9</v>
      </c>
    </row>
    <row r="94" spans="1:10" ht="38.25" x14ac:dyDescent="0.2">
      <c r="A94" s="1"/>
      <c r="B94" s="25"/>
      <c r="C94" s="16" t="s">
        <v>88</v>
      </c>
      <c r="D94" s="16" t="s">
        <v>9</v>
      </c>
      <c r="E94" s="79">
        <v>9930010540</v>
      </c>
      <c r="F94" s="82" t="s">
        <v>211</v>
      </c>
      <c r="G94" s="98" t="s">
        <v>212</v>
      </c>
      <c r="H94" s="39">
        <v>16.2</v>
      </c>
      <c r="I94" s="39">
        <v>18.3</v>
      </c>
      <c r="J94" s="39">
        <v>20.399999999999999</v>
      </c>
    </row>
    <row r="95" spans="1:10" ht="38.25" x14ac:dyDescent="0.2">
      <c r="A95" s="1"/>
      <c r="B95" s="25"/>
      <c r="C95" s="16" t="s">
        <v>88</v>
      </c>
      <c r="D95" s="16" t="s">
        <v>9</v>
      </c>
      <c r="E95" s="16" t="s">
        <v>24</v>
      </c>
      <c r="F95" s="16"/>
      <c r="G95" s="99" t="s">
        <v>38</v>
      </c>
      <c r="H95" s="39">
        <f>H96</f>
        <v>7027.4</v>
      </c>
      <c r="I95" s="39">
        <f t="shared" ref="I95:J95" si="32">I96</f>
        <v>1417</v>
      </c>
      <c r="J95" s="39">
        <f t="shared" si="32"/>
        <v>1417</v>
      </c>
    </row>
    <row r="96" spans="1:10" ht="25.5" x14ac:dyDescent="0.2">
      <c r="A96" s="1"/>
      <c r="B96" s="25"/>
      <c r="C96" s="16" t="s">
        <v>88</v>
      </c>
      <c r="D96" s="16" t="s">
        <v>9</v>
      </c>
      <c r="E96" s="82" t="s">
        <v>534</v>
      </c>
      <c r="F96" s="16"/>
      <c r="G96" s="99" t="s">
        <v>39</v>
      </c>
      <c r="H96" s="39">
        <f>SUM(H97:H99)</f>
        <v>7027.4</v>
      </c>
      <c r="I96" s="39">
        <f>SUM(I97:I99)</f>
        <v>1417</v>
      </c>
      <c r="J96" s="39">
        <f>SUM(J97:J99)</f>
        <v>1417</v>
      </c>
    </row>
    <row r="97" spans="1:10" ht="38.25" x14ac:dyDescent="0.2">
      <c r="A97" s="1"/>
      <c r="B97" s="25"/>
      <c r="C97" s="16" t="s">
        <v>88</v>
      </c>
      <c r="D97" s="16" t="s">
        <v>9</v>
      </c>
      <c r="E97" s="82" t="s">
        <v>534</v>
      </c>
      <c r="F97" s="82" t="s">
        <v>211</v>
      </c>
      <c r="G97" s="98" t="s">
        <v>212</v>
      </c>
      <c r="H97" s="39">
        <v>286.2</v>
      </c>
      <c r="I97" s="39">
        <v>287</v>
      </c>
      <c r="J97" s="39">
        <v>287</v>
      </c>
    </row>
    <row r="98" spans="1:10" x14ac:dyDescent="0.2">
      <c r="A98" s="1"/>
      <c r="B98" s="25"/>
      <c r="C98" s="16" t="s">
        <v>88</v>
      </c>
      <c r="D98" s="16" t="s">
        <v>9</v>
      </c>
      <c r="E98" s="82" t="s">
        <v>534</v>
      </c>
      <c r="F98" s="16" t="s">
        <v>81</v>
      </c>
      <c r="G98" s="98" t="s">
        <v>82</v>
      </c>
      <c r="H98" s="39">
        <v>528</v>
      </c>
      <c r="I98" s="39">
        <v>528</v>
      </c>
      <c r="J98" s="39">
        <v>528</v>
      </c>
    </row>
    <row r="99" spans="1:10" ht="25.5" x14ac:dyDescent="0.2">
      <c r="A99" s="1"/>
      <c r="B99" s="25"/>
      <c r="C99" s="16" t="s">
        <v>88</v>
      </c>
      <c r="D99" s="16" t="s">
        <v>9</v>
      </c>
      <c r="E99" s="82" t="s">
        <v>534</v>
      </c>
      <c r="F99" s="82" t="s">
        <v>131</v>
      </c>
      <c r="G99" s="98" t="s">
        <v>132</v>
      </c>
      <c r="H99" s="39">
        <f>602+4630+40+960-18.8</f>
        <v>6213.2</v>
      </c>
      <c r="I99" s="39">
        <v>602</v>
      </c>
      <c r="J99" s="39">
        <v>602</v>
      </c>
    </row>
    <row r="100" spans="1:10" ht="25.5" x14ac:dyDescent="0.2">
      <c r="A100" s="1"/>
      <c r="B100" s="25"/>
      <c r="C100" s="16" t="s">
        <v>88</v>
      </c>
      <c r="D100" s="16" t="s">
        <v>9</v>
      </c>
      <c r="E100" s="82" t="s">
        <v>194</v>
      </c>
      <c r="F100" s="16"/>
      <c r="G100" s="99" t="s">
        <v>195</v>
      </c>
      <c r="H100" s="39">
        <f>H101+H104</f>
        <v>46034.600000000006</v>
      </c>
      <c r="I100" s="39">
        <f>I101+I104</f>
        <v>39315.700000000004</v>
      </c>
      <c r="J100" s="39">
        <f>J101+J104</f>
        <v>39315.700000000004</v>
      </c>
    </row>
    <row r="101" spans="1:10" ht="38.25" x14ac:dyDescent="0.2">
      <c r="A101" s="1"/>
      <c r="B101" s="25"/>
      <c r="C101" s="16" t="s">
        <v>88</v>
      </c>
      <c r="D101" s="16" t="s">
        <v>9</v>
      </c>
      <c r="E101" s="21" t="s">
        <v>536</v>
      </c>
      <c r="F101" s="47"/>
      <c r="G101" s="54" t="s">
        <v>284</v>
      </c>
      <c r="H101" s="41">
        <f>SUM(H102:H103)</f>
        <v>11238.800000000001</v>
      </c>
      <c r="I101" s="41">
        <f>SUM(I102:I103)</f>
        <v>10807.1</v>
      </c>
      <c r="J101" s="41">
        <f>SUM(J102:J103)</f>
        <v>10807.1</v>
      </c>
    </row>
    <row r="102" spans="1:10" ht="25.5" x14ac:dyDescent="0.2">
      <c r="A102" s="1"/>
      <c r="B102" s="25"/>
      <c r="C102" s="16" t="s">
        <v>88</v>
      </c>
      <c r="D102" s="16" t="s">
        <v>9</v>
      </c>
      <c r="E102" s="21" t="s">
        <v>536</v>
      </c>
      <c r="F102" s="16" t="s">
        <v>64</v>
      </c>
      <c r="G102" s="102" t="s">
        <v>130</v>
      </c>
      <c r="H102" s="41">
        <f>10020.7+431.7</f>
        <v>10452.400000000001</v>
      </c>
      <c r="I102" s="41">
        <v>10020.700000000001</v>
      </c>
      <c r="J102" s="41">
        <v>10020.700000000001</v>
      </c>
    </row>
    <row r="103" spans="1:10" ht="38.25" x14ac:dyDescent="0.2">
      <c r="A103" s="1"/>
      <c r="B103" s="25"/>
      <c r="C103" s="16" t="s">
        <v>88</v>
      </c>
      <c r="D103" s="16" t="s">
        <v>9</v>
      </c>
      <c r="E103" s="21" t="s">
        <v>536</v>
      </c>
      <c r="F103" s="82" t="s">
        <v>211</v>
      </c>
      <c r="G103" s="98" t="s">
        <v>212</v>
      </c>
      <c r="H103" s="41">
        <v>786.4</v>
      </c>
      <c r="I103" s="41">
        <v>786.4</v>
      </c>
      <c r="J103" s="41">
        <v>786.4</v>
      </c>
    </row>
    <row r="104" spans="1:10" ht="55.5" customHeight="1" x14ac:dyDescent="0.2">
      <c r="A104" s="1"/>
      <c r="B104" s="25"/>
      <c r="C104" s="16" t="s">
        <v>88</v>
      </c>
      <c r="D104" s="16" t="s">
        <v>9</v>
      </c>
      <c r="E104" s="21" t="s">
        <v>538</v>
      </c>
      <c r="F104" s="47"/>
      <c r="G104" s="54" t="s">
        <v>537</v>
      </c>
      <c r="H104" s="41">
        <f>SUM(H105:H108)</f>
        <v>34795.800000000003</v>
      </c>
      <c r="I104" s="41">
        <f>SUM(I105:I108)</f>
        <v>28508.600000000002</v>
      </c>
      <c r="J104" s="41">
        <f>SUM(J105:J108)</f>
        <v>28508.600000000002</v>
      </c>
    </row>
    <row r="105" spans="1:10" ht="25.5" x14ac:dyDescent="0.2">
      <c r="A105" s="1"/>
      <c r="B105" s="25"/>
      <c r="C105" s="16" t="s">
        <v>88</v>
      </c>
      <c r="D105" s="16" t="s">
        <v>9</v>
      </c>
      <c r="E105" s="21" t="s">
        <v>538</v>
      </c>
      <c r="F105" s="16" t="s">
        <v>64</v>
      </c>
      <c r="G105" s="102" t="s">
        <v>130</v>
      </c>
      <c r="H105" s="41">
        <f>11105.9+224.2-17.6-16.9</f>
        <v>11295.6</v>
      </c>
      <c r="I105" s="41">
        <v>11105.9</v>
      </c>
      <c r="J105" s="41">
        <v>11105.9</v>
      </c>
    </row>
    <row r="106" spans="1:10" ht="38.25" x14ac:dyDescent="0.2">
      <c r="A106" s="1"/>
      <c r="B106" s="25"/>
      <c r="C106" s="16" t="s">
        <v>88</v>
      </c>
      <c r="D106" s="16" t="s">
        <v>9</v>
      </c>
      <c r="E106" s="21" t="s">
        <v>538</v>
      </c>
      <c r="F106" s="82" t="s">
        <v>211</v>
      </c>
      <c r="G106" s="98" t="s">
        <v>212</v>
      </c>
      <c r="H106" s="41">
        <f>17241.4+6103.5</f>
        <v>23344.9</v>
      </c>
      <c r="I106" s="41">
        <v>17281.900000000001</v>
      </c>
      <c r="J106" s="41">
        <v>17281.900000000001</v>
      </c>
    </row>
    <row r="107" spans="1:10" ht="38.25" x14ac:dyDescent="0.2">
      <c r="A107" s="1"/>
      <c r="B107" s="25"/>
      <c r="C107" s="16" t="s">
        <v>88</v>
      </c>
      <c r="D107" s="16" t="s">
        <v>9</v>
      </c>
      <c r="E107" s="21" t="s">
        <v>538</v>
      </c>
      <c r="F107" s="82" t="s">
        <v>260</v>
      </c>
      <c r="G107" s="98" t="s">
        <v>249</v>
      </c>
      <c r="H107" s="41">
        <f>17.6+16.9</f>
        <v>34.5</v>
      </c>
      <c r="I107" s="41">
        <v>0</v>
      </c>
      <c r="J107" s="41">
        <v>0</v>
      </c>
    </row>
    <row r="108" spans="1:10" ht="25.5" x14ac:dyDescent="0.2">
      <c r="A108" s="1"/>
      <c r="B108" s="25"/>
      <c r="C108" s="16" t="s">
        <v>88</v>
      </c>
      <c r="D108" s="16" t="s">
        <v>9</v>
      </c>
      <c r="E108" s="21" t="s">
        <v>538</v>
      </c>
      <c r="F108" s="82" t="s">
        <v>131</v>
      </c>
      <c r="G108" s="98" t="s">
        <v>132</v>
      </c>
      <c r="H108" s="41">
        <v>120.8</v>
      </c>
      <c r="I108" s="41">
        <v>120.8</v>
      </c>
      <c r="J108" s="41">
        <v>120.8</v>
      </c>
    </row>
    <row r="109" spans="1:10" ht="45" x14ac:dyDescent="0.25">
      <c r="A109" s="3"/>
      <c r="B109" s="91"/>
      <c r="C109" s="4" t="s">
        <v>93</v>
      </c>
      <c r="D109" s="3"/>
      <c r="E109" s="3"/>
      <c r="F109" s="3"/>
      <c r="G109" s="49" t="s">
        <v>98</v>
      </c>
      <c r="H109" s="92">
        <f>H110+H115+H145</f>
        <v>11302.2</v>
      </c>
      <c r="I109" s="92">
        <f>I110+I115+I145</f>
        <v>9716</v>
      </c>
      <c r="J109" s="92">
        <f>J110+J115+J145</f>
        <v>9686.6</v>
      </c>
    </row>
    <row r="110" spans="1:10" ht="15.75" x14ac:dyDescent="0.25">
      <c r="A110" s="3"/>
      <c r="B110" s="91"/>
      <c r="C110" s="28" t="s">
        <v>93</v>
      </c>
      <c r="D110" s="28" t="s">
        <v>94</v>
      </c>
      <c r="E110" s="28"/>
      <c r="F110" s="34"/>
      <c r="G110" s="46" t="s">
        <v>18</v>
      </c>
      <c r="H110" s="40">
        <f t="shared" ref="H110" si="33">H113</f>
        <v>1414.2</v>
      </c>
      <c r="I110" s="40">
        <f t="shared" ref="I110" si="34">I113</f>
        <v>1414.2</v>
      </c>
      <c r="J110" s="40">
        <f t="shared" ref="J110" si="35">J113</f>
        <v>1414.2</v>
      </c>
    </row>
    <row r="111" spans="1:10" ht="25.5" x14ac:dyDescent="0.25">
      <c r="A111" s="3"/>
      <c r="B111" s="91"/>
      <c r="C111" s="16" t="s">
        <v>93</v>
      </c>
      <c r="D111" s="16" t="s">
        <v>94</v>
      </c>
      <c r="E111" s="79">
        <v>9900000000</v>
      </c>
      <c r="F111" s="34"/>
      <c r="G111" s="55" t="s">
        <v>144</v>
      </c>
      <c r="H111" s="41">
        <f t="shared" ref="H111:J112" si="36">H112</f>
        <v>1414.2</v>
      </c>
      <c r="I111" s="41">
        <f t="shared" si="36"/>
        <v>1414.2</v>
      </c>
      <c r="J111" s="41">
        <f t="shared" si="36"/>
        <v>1414.2</v>
      </c>
    </row>
    <row r="112" spans="1:10" ht="26.25" x14ac:dyDescent="0.25">
      <c r="A112" s="3"/>
      <c r="B112" s="91"/>
      <c r="C112" s="16" t="s">
        <v>93</v>
      </c>
      <c r="D112" s="16" t="s">
        <v>94</v>
      </c>
      <c r="E112" s="79">
        <v>9930000000</v>
      </c>
      <c r="F112" s="16"/>
      <c r="G112" s="22" t="s">
        <v>40</v>
      </c>
      <c r="H112" s="41">
        <f t="shared" si="36"/>
        <v>1414.2</v>
      </c>
      <c r="I112" s="41">
        <f t="shared" si="36"/>
        <v>1414.2</v>
      </c>
      <c r="J112" s="41">
        <f t="shared" si="36"/>
        <v>1414.2</v>
      </c>
    </row>
    <row r="113" spans="1:10" ht="51.75" x14ac:dyDescent="0.25">
      <c r="A113" s="3"/>
      <c r="B113" s="91"/>
      <c r="C113" s="16" t="s">
        <v>93</v>
      </c>
      <c r="D113" s="16" t="s">
        <v>94</v>
      </c>
      <c r="E113" s="79">
        <v>9930059302</v>
      </c>
      <c r="F113" s="16"/>
      <c r="G113" s="99" t="s">
        <v>364</v>
      </c>
      <c r="H113" s="39">
        <f>SUM(H114:H114)</f>
        <v>1414.2</v>
      </c>
      <c r="I113" s="39">
        <f>SUM(I114:I114)</f>
        <v>1414.2</v>
      </c>
      <c r="J113" s="39">
        <f>SUM(J114:J114)</f>
        <v>1414.2</v>
      </c>
    </row>
    <row r="114" spans="1:10" ht="38.25" x14ac:dyDescent="0.25">
      <c r="A114" s="3"/>
      <c r="B114" s="91"/>
      <c r="C114" s="16" t="s">
        <v>93</v>
      </c>
      <c r="D114" s="16" t="s">
        <v>94</v>
      </c>
      <c r="E114" s="79">
        <v>9930059302</v>
      </c>
      <c r="F114" s="16" t="s">
        <v>62</v>
      </c>
      <c r="G114" s="55" t="s">
        <v>63</v>
      </c>
      <c r="H114" s="39">
        <v>1414.2</v>
      </c>
      <c r="I114" s="39">
        <v>1414.2</v>
      </c>
      <c r="J114" s="39">
        <v>1414.2</v>
      </c>
    </row>
    <row r="115" spans="1:10" ht="51.75" x14ac:dyDescent="0.25">
      <c r="A115" s="3"/>
      <c r="B115" s="91"/>
      <c r="C115" s="28" t="s">
        <v>93</v>
      </c>
      <c r="D115" s="28" t="s">
        <v>110</v>
      </c>
      <c r="E115" s="28"/>
      <c r="F115" s="34"/>
      <c r="G115" s="46" t="s">
        <v>126</v>
      </c>
      <c r="H115" s="40">
        <f>H116+H140</f>
        <v>9888</v>
      </c>
      <c r="I115" s="40">
        <f>I116+I140</f>
        <v>8272.4</v>
      </c>
      <c r="J115" s="40">
        <f>J116+J140</f>
        <v>8272.4</v>
      </c>
    </row>
    <row r="116" spans="1:10" ht="90" x14ac:dyDescent="0.25">
      <c r="A116" s="3"/>
      <c r="B116" s="91"/>
      <c r="C116" s="21" t="s">
        <v>93</v>
      </c>
      <c r="D116" s="21" t="s">
        <v>110</v>
      </c>
      <c r="E116" s="73" t="s">
        <v>50</v>
      </c>
      <c r="F116" s="16"/>
      <c r="G116" s="64" t="s">
        <v>583</v>
      </c>
      <c r="H116" s="59">
        <f>H117+H123+H128+H134</f>
        <v>2878</v>
      </c>
      <c r="I116" s="59">
        <f t="shared" ref="I116:J116" si="37">I117+I123+I128+I134</f>
        <v>1500</v>
      </c>
      <c r="J116" s="59">
        <f t="shared" si="37"/>
        <v>1500</v>
      </c>
    </row>
    <row r="117" spans="1:10" ht="54.75" customHeight="1" x14ac:dyDescent="0.25">
      <c r="A117" s="3"/>
      <c r="B117" s="91"/>
      <c r="C117" s="21" t="s">
        <v>93</v>
      </c>
      <c r="D117" s="21" t="s">
        <v>110</v>
      </c>
      <c r="E117" s="52" t="s">
        <v>51</v>
      </c>
      <c r="F117" s="16"/>
      <c r="G117" s="48" t="s">
        <v>203</v>
      </c>
      <c r="H117" s="93">
        <f>H119+H121</f>
        <v>143.5</v>
      </c>
      <c r="I117" s="93">
        <f t="shared" ref="I117:J117" si="38">I119+I121</f>
        <v>80</v>
      </c>
      <c r="J117" s="93">
        <f t="shared" si="38"/>
        <v>80</v>
      </c>
    </row>
    <row r="118" spans="1:10" ht="64.5" x14ac:dyDescent="0.25">
      <c r="A118" s="3"/>
      <c r="B118" s="91"/>
      <c r="C118" s="21" t="s">
        <v>93</v>
      </c>
      <c r="D118" s="21" t="s">
        <v>110</v>
      </c>
      <c r="E118" s="21" t="s">
        <v>218</v>
      </c>
      <c r="F118" s="16"/>
      <c r="G118" s="99" t="s">
        <v>292</v>
      </c>
      <c r="H118" s="39">
        <f>H119</f>
        <v>103.5</v>
      </c>
      <c r="I118" s="39">
        <f t="shared" ref="I118:J118" si="39">I119+I121</f>
        <v>80</v>
      </c>
      <c r="J118" s="39">
        <f t="shared" si="39"/>
        <v>80</v>
      </c>
    </row>
    <row r="119" spans="1:10" ht="39" x14ac:dyDescent="0.25">
      <c r="A119" s="3"/>
      <c r="B119" s="91"/>
      <c r="C119" s="21" t="s">
        <v>93</v>
      </c>
      <c r="D119" s="21" t="s">
        <v>110</v>
      </c>
      <c r="E119" s="74">
        <v>1110123305</v>
      </c>
      <c r="F119" s="16"/>
      <c r="G119" s="99" t="s">
        <v>217</v>
      </c>
      <c r="H119" s="39">
        <f>H120</f>
        <v>103.5</v>
      </c>
      <c r="I119" s="39">
        <f t="shared" ref="I119:J119" si="40">I120</f>
        <v>40</v>
      </c>
      <c r="J119" s="39">
        <f t="shared" si="40"/>
        <v>40</v>
      </c>
    </row>
    <row r="120" spans="1:10" ht="38.25" x14ac:dyDescent="0.25">
      <c r="A120" s="3"/>
      <c r="B120" s="91"/>
      <c r="C120" s="21" t="s">
        <v>93</v>
      </c>
      <c r="D120" s="21" t="s">
        <v>110</v>
      </c>
      <c r="E120" s="74">
        <v>1110123305</v>
      </c>
      <c r="F120" s="82" t="s">
        <v>211</v>
      </c>
      <c r="G120" s="98" t="s">
        <v>212</v>
      </c>
      <c r="H120" s="39">
        <f>40+63.5</f>
        <v>103.5</v>
      </c>
      <c r="I120" s="39">
        <v>40</v>
      </c>
      <c r="J120" s="39">
        <v>40</v>
      </c>
    </row>
    <row r="121" spans="1:10" ht="51.75" x14ac:dyDescent="0.25">
      <c r="A121" s="3"/>
      <c r="B121" s="91"/>
      <c r="C121" s="21" t="s">
        <v>93</v>
      </c>
      <c r="D121" s="21" t="s">
        <v>110</v>
      </c>
      <c r="E121" s="74">
        <v>1110123310</v>
      </c>
      <c r="F121" s="16"/>
      <c r="G121" s="99" t="s">
        <v>205</v>
      </c>
      <c r="H121" s="39">
        <v>40</v>
      </c>
      <c r="I121" s="41">
        <f>I122</f>
        <v>40</v>
      </c>
      <c r="J121" s="41">
        <f>J122</f>
        <v>40</v>
      </c>
    </row>
    <row r="122" spans="1:10" ht="38.25" x14ac:dyDescent="0.25">
      <c r="A122" s="3"/>
      <c r="B122" s="91"/>
      <c r="C122" s="21" t="s">
        <v>93</v>
      </c>
      <c r="D122" s="21" t="s">
        <v>110</v>
      </c>
      <c r="E122" s="74">
        <v>1110123310</v>
      </c>
      <c r="F122" s="82" t="s">
        <v>211</v>
      </c>
      <c r="G122" s="98" t="s">
        <v>212</v>
      </c>
      <c r="H122" s="39">
        <v>40</v>
      </c>
      <c r="I122" s="39">
        <v>40</v>
      </c>
      <c r="J122" s="39">
        <v>40</v>
      </c>
    </row>
    <row r="123" spans="1:10" ht="39" x14ac:dyDescent="0.25">
      <c r="A123" s="3"/>
      <c r="B123" s="91"/>
      <c r="C123" s="21" t="s">
        <v>93</v>
      </c>
      <c r="D123" s="21" t="s">
        <v>110</v>
      </c>
      <c r="E123" s="52" t="s">
        <v>52</v>
      </c>
      <c r="F123" s="82"/>
      <c r="G123" s="48" t="s">
        <v>199</v>
      </c>
      <c r="H123" s="41">
        <f t="shared" ref="H123:J124" si="41">H124</f>
        <v>2709.5</v>
      </c>
      <c r="I123" s="41">
        <f t="shared" si="41"/>
        <v>1400</v>
      </c>
      <c r="J123" s="41">
        <f t="shared" si="41"/>
        <v>1400</v>
      </c>
    </row>
    <row r="124" spans="1:10" ht="51.75" x14ac:dyDescent="0.25">
      <c r="A124" s="3"/>
      <c r="B124" s="91"/>
      <c r="C124" s="21" t="s">
        <v>93</v>
      </c>
      <c r="D124" s="21" t="s">
        <v>110</v>
      </c>
      <c r="E124" s="21" t="s">
        <v>219</v>
      </c>
      <c r="F124" s="82"/>
      <c r="G124" s="99" t="s">
        <v>303</v>
      </c>
      <c r="H124" s="41">
        <f t="shared" si="41"/>
        <v>2709.5</v>
      </c>
      <c r="I124" s="41">
        <f t="shared" si="41"/>
        <v>1400</v>
      </c>
      <c r="J124" s="41">
        <f t="shared" si="41"/>
        <v>1400</v>
      </c>
    </row>
    <row r="125" spans="1:10" ht="38.25" x14ac:dyDescent="0.25">
      <c r="A125" s="3"/>
      <c r="B125" s="91"/>
      <c r="C125" s="21" t="s">
        <v>93</v>
      </c>
      <c r="D125" s="21" t="s">
        <v>110</v>
      </c>
      <c r="E125" s="74">
        <v>1120123315</v>
      </c>
      <c r="F125" s="16"/>
      <c r="G125" s="98" t="s">
        <v>516</v>
      </c>
      <c r="H125" s="41">
        <f>SUM(H126:H127)</f>
        <v>2709.5</v>
      </c>
      <c r="I125" s="41">
        <f>SUM(I126:I127)</f>
        <v>1400</v>
      </c>
      <c r="J125" s="41">
        <f>SUM(J126:J127)</f>
        <v>1400</v>
      </c>
    </row>
    <row r="126" spans="1:10" ht="25.5" x14ac:dyDescent="0.25">
      <c r="A126" s="3"/>
      <c r="B126" s="91"/>
      <c r="C126" s="21" t="s">
        <v>93</v>
      </c>
      <c r="D126" s="21" t="s">
        <v>110</v>
      </c>
      <c r="E126" s="74">
        <v>1120123315</v>
      </c>
      <c r="F126" s="82" t="s">
        <v>64</v>
      </c>
      <c r="G126" s="55" t="s">
        <v>130</v>
      </c>
      <c r="H126" s="41">
        <v>118</v>
      </c>
      <c r="I126" s="41">
        <v>51.2</v>
      </c>
      <c r="J126" s="41">
        <v>51.2</v>
      </c>
    </row>
    <row r="127" spans="1:10" ht="38.25" x14ac:dyDescent="0.25">
      <c r="A127" s="3"/>
      <c r="B127" s="91"/>
      <c r="C127" s="21" t="s">
        <v>93</v>
      </c>
      <c r="D127" s="21" t="s">
        <v>110</v>
      </c>
      <c r="E127" s="74">
        <v>1120123315</v>
      </c>
      <c r="F127" s="82" t="s">
        <v>211</v>
      </c>
      <c r="G127" s="98" t="s">
        <v>212</v>
      </c>
      <c r="H127" s="41">
        <f>2147.1+444.4</f>
        <v>2591.5</v>
      </c>
      <c r="I127" s="41">
        <v>1348.8</v>
      </c>
      <c r="J127" s="41">
        <v>1348.8</v>
      </c>
    </row>
    <row r="128" spans="1:10" ht="51.75" x14ac:dyDescent="0.25">
      <c r="A128" s="3"/>
      <c r="B128" s="91"/>
      <c r="C128" s="21" t="s">
        <v>93</v>
      </c>
      <c r="D128" s="21" t="s">
        <v>110</v>
      </c>
      <c r="E128" s="52" t="s">
        <v>53</v>
      </c>
      <c r="F128" s="16"/>
      <c r="G128" s="48" t="s">
        <v>250</v>
      </c>
      <c r="H128" s="93">
        <f>H129</f>
        <v>10</v>
      </c>
      <c r="I128" s="93">
        <f>I129</f>
        <v>5</v>
      </c>
      <c r="J128" s="93">
        <f>J129</f>
        <v>5</v>
      </c>
    </row>
    <row r="129" spans="1:10" ht="67.5" customHeight="1" x14ac:dyDescent="0.25">
      <c r="A129" s="3"/>
      <c r="B129" s="91"/>
      <c r="C129" s="21" t="s">
        <v>93</v>
      </c>
      <c r="D129" s="21" t="s">
        <v>110</v>
      </c>
      <c r="E129" s="21" t="s">
        <v>220</v>
      </c>
      <c r="F129" s="16"/>
      <c r="G129" s="99" t="s">
        <v>311</v>
      </c>
      <c r="H129" s="39">
        <f>H130+H132</f>
        <v>10</v>
      </c>
      <c r="I129" s="39">
        <f>I130+I132</f>
        <v>5</v>
      </c>
      <c r="J129" s="39">
        <f>J130+J132</f>
        <v>5</v>
      </c>
    </row>
    <row r="130" spans="1:10" ht="25.5" x14ac:dyDescent="0.25">
      <c r="A130" s="3"/>
      <c r="B130" s="91"/>
      <c r="C130" s="21" t="s">
        <v>93</v>
      </c>
      <c r="D130" s="21" t="s">
        <v>110</v>
      </c>
      <c r="E130" s="74">
        <v>1130123320</v>
      </c>
      <c r="F130" s="16"/>
      <c r="G130" s="98" t="s">
        <v>251</v>
      </c>
      <c r="H130" s="41">
        <f>H131</f>
        <v>7.9</v>
      </c>
      <c r="I130" s="41">
        <f>I131</f>
        <v>4</v>
      </c>
      <c r="J130" s="41">
        <f>J131</f>
        <v>4</v>
      </c>
    </row>
    <row r="131" spans="1:10" ht="38.25" x14ac:dyDescent="0.25">
      <c r="A131" s="3"/>
      <c r="B131" s="91"/>
      <c r="C131" s="21" t="s">
        <v>93</v>
      </c>
      <c r="D131" s="21" t="s">
        <v>110</v>
      </c>
      <c r="E131" s="74">
        <v>1130123320</v>
      </c>
      <c r="F131" s="82" t="s">
        <v>211</v>
      </c>
      <c r="G131" s="98" t="s">
        <v>212</v>
      </c>
      <c r="H131" s="41">
        <f>8-0.1</f>
        <v>7.9</v>
      </c>
      <c r="I131" s="41">
        <v>4</v>
      </c>
      <c r="J131" s="41">
        <v>4</v>
      </c>
    </row>
    <row r="132" spans="1:10" ht="38.25" x14ac:dyDescent="0.25">
      <c r="A132" s="3"/>
      <c r="B132" s="91"/>
      <c r="C132" s="21" t="s">
        <v>93</v>
      </c>
      <c r="D132" s="21" t="s">
        <v>110</v>
      </c>
      <c r="E132" s="74">
        <v>1130123325</v>
      </c>
      <c r="F132" s="16"/>
      <c r="G132" s="98" t="s">
        <v>221</v>
      </c>
      <c r="H132" s="41">
        <f>H133</f>
        <v>2.1</v>
      </c>
      <c r="I132" s="41">
        <f>I133</f>
        <v>1</v>
      </c>
      <c r="J132" s="41">
        <f>J133</f>
        <v>1</v>
      </c>
    </row>
    <row r="133" spans="1:10" ht="38.25" x14ac:dyDescent="0.25">
      <c r="A133" s="3"/>
      <c r="B133" s="91"/>
      <c r="C133" s="21" t="s">
        <v>93</v>
      </c>
      <c r="D133" s="21" t="s">
        <v>110</v>
      </c>
      <c r="E133" s="74">
        <v>1130123325</v>
      </c>
      <c r="F133" s="82" t="s">
        <v>211</v>
      </c>
      <c r="G133" s="98" t="s">
        <v>212</v>
      </c>
      <c r="H133" s="41">
        <f>2+0.1</f>
        <v>2.1</v>
      </c>
      <c r="I133" s="41">
        <v>1</v>
      </c>
      <c r="J133" s="41">
        <v>1</v>
      </c>
    </row>
    <row r="134" spans="1:10" ht="64.5" x14ac:dyDescent="0.25">
      <c r="A134" s="3"/>
      <c r="B134" s="91"/>
      <c r="C134" s="21" t="s">
        <v>93</v>
      </c>
      <c r="D134" s="21" t="s">
        <v>110</v>
      </c>
      <c r="E134" s="52" t="s">
        <v>54</v>
      </c>
      <c r="F134" s="16"/>
      <c r="G134" s="48" t="s">
        <v>204</v>
      </c>
      <c r="H134" s="93">
        <f>H135</f>
        <v>15</v>
      </c>
      <c r="I134" s="93">
        <f t="shared" ref="I134:J134" si="42">I135</f>
        <v>15</v>
      </c>
      <c r="J134" s="93">
        <f t="shared" si="42"/>
        <v>15</v>
      </c>
    </row>
    <row r="135" spans="1:10" ht="51" customHeight="1" x14ac:dyDescent="0.25">
      <c r="A135" s="3"/>
      <c r="B135" s="91"/>
      <c r="C135" s="21" t="s">
        <v>93</v>
      </c>
      <c r="D135" s="21" t="s">
        <v>110</v>
      </c>
      <c r="E135" s="21" t="s">
        <v>291</v>
      </c>
      <c r="F135" s="82"/>
      <c r="G135" s="98" t="s">
        <v>222</v>
      </c>
      <c r="H135" s="41">
        <f>H136+H138</f>
        <v>15</v>
      </c>
      <c r="I135" s="41">
        <f t="shared" ref="I135:J135" si="43">I136+I138</f>
        <v>15</v>
      </c>
      <c r="J135" s="41">
        <f t="shared" si="43"/>
        <v>15</v>
      </c>
    </row>
    <row r="136" spans="1:10" ht="25.5" x14ac:dyDescent="0.25">
      <c r="A136" s="3"/>
      <c r="B136" s="91"/>
      <c r="C136" s="21" t="s">
        <v>93</v>
      </c>
      <c r="D136" s="21" t="s">
        <v>110</v>
      </c>
      <c r="E136" s="74">
        <v>1140123330</v>
      </c>
      <c r="F136" s="16"/>
      <c r="G136" s="98" t="s">
        <v>193</v>
      </c>
      <c r="H136" s="41">
        <f>H137</f>
        <v>12</v>
      </c>
      <c r="I136" s="41">
        <f>I137</f>
        <v>12</v>
      </c>
      <c r="J136" s="41">
        <f>J137</f>
        <v>12</v>
      </c>
    </row>
    <row r="137" spans="1:10" ht="38.25" x14ac:dyDescent="0.25">
      <c r="A137" s="3"/>
      <c r="B137" s="91"/>
      <c r="C137" s="21" t="s">
        <v>93</v>
      </c>
      <c r="D137" s="21" t="s">
        <v>110</v>
      </c>
      <c r="E137" s="74">
        <v>1140123330</v>
      </c>
      <c r="F137" s="82" t="s">
        <v>211</v>
      </c>
      <c r="G137" s="98" t="s">
        <v>212</v>
      </c>
      <c r="H137" s="41">
        <v>12</v>
      </c>
      <c r="I137" s="41">
        <v>12</v>
      </c>
      <c r="J137" s="41">
        <v>12</v>
      </c>
    </row>
    <row r="138" spans="1:10" ht="38.25" x14ac:dyDescent="0.25">
      <c r="A138" s="3"/>
      <c r="B138" s="91"/>
      <c r="C138" s="21" t="s">
        <v>93</v>
      </c>
      <c r="D138" s="21" t="s">
        <v>110</v>
      </c>
      <c r="E138" s="74">
        <v>1140123335</v>
      </c>
      <c r="F138" s="16"/>
      <c r="G138" s="98" t="s">
        <v>223</v>
      </c>
      <c r="H138" s="41">
        <f>H139</f>
        <v>3</v>
      </c>
      <c r="I138" s="41">
        <f>I139</f>
        <v>3</v>
      </c>
      <c r="J138" s="41">
        <f>J139</f>
        <v>3</v>
      </c>
    </row>
    <row r="139" spans="1:10" ht="38.25" x14ac:dyDescent="0.25">
      <c r="A139" s="3"/>
      <c r="B139" s="91"/>
      <c r="C139" s="21" t="s">
        <v>93</v>
      </c>
      <c r="D139" s="21" t="s">
        <v>110</v>
      </c>
      <c r="E139" s="74">
        <v>1140123335</v>
      </c>
      <c r="F139" s="82" t="s">
        <v>211</v>
      </c>
      <c r="G139" s="98" t="s">
        <v>212</v>
      </c>
      <c r="H139" s="41">
        <v>3</v>
      </c>
      <c r="I139" s="41">
        <v>3</v>
      </c>
      <c r="J139" s="41">
        <v>3</v>
      </c>
    </row>
    <row r="140" spans="1:10" ht="25.5" x14ac:dyDescent="0.25">
      <c r="A140" s="3"/>
      <c r="B140" s="91"/>
      <c r="C140" s="81" t="s">
        <v>93</v>
      </c>
      <c r="D140" s="81" t="s">
        <v>110</v>
      </c>
      <c r="E140" s="73" t="s">
        <v>194</v>
      </c>
      <c r="F140" s="33"/>
      <c r="G140" s="84" t="s">
        <v>144</v>
      </c>
      <c r="H140" s="61">
        <f t="shared" ref="H140:J140" si="44">H141</f>
        <v>7010</v>
      </c>
      <c r="I140" s="61">
        <f t="shared" si="44"/>
        <v>6772.4</v>
      </c>
      <c r="J140" s="61">
        <f t="shared" si="44"/>
        <v>6772.4</v>
      </c>
    </row>
    <row r="141" spans="1:10" ht="63.75" x14ac:dyDescent="0.25">
      <c r="A141" s="3"/>
      <c r="B141" s="91"/>
      <c r="C141" s="21" t="s">
        <v>93</v>
      </c>
      <c r="D141" s="21" t="s">
        <v>110</v>
      </c>
      <c r="E141" s="21" t="s">
        <v>535</v>
      </c>
      <c r="F141" s="47"/>
      <c r="G141" s="54" t="s">
        <v>539</v>
      </c>
      <c r="H141" s="41">
        <f>SUM(H142:H144)</f>
        <v>7010</v>
      </c>
      <c r="I141" s="41">
        <f>SUM(I142:I144)</f>
        <v>6772.4</v>
      </c>
      <c r="J141" s="41">
        <f t="shared" ref="J141" si="45">SUM(J142:J144)</f>
        <v>6772.4</v>
      </c>
    </row>
    <row r="142" spans="1:10" ht="25.5" x14ac:dyDescent="0.25">
      <c r="A142" s="3"/>
      <c r="B142" s="91"/>
      <c r="C142" s="21" t="s">
        <v>93</v>
      </c>
      <c r="D142" s="21" t="s">
        <v>110</v>
      </c>
      <c r="E142" s="21" t="s">
        <v>535</v>
      </c>
      <c r="F142" s="16" t="s">
        <v>64</v>
      </c>
      <c r="G142" s="102" t="s">
        <v>130</v>
      </c>
      <c r="H142" s="41">
        <f>6007.4+237.6</f>
        <v>6245</v>
      </c>
      <c r="I142" s="41">
        <v>6007.4</v>
      </c>
      <c r="J142" s="41">
        <v>6007.4</v>
      </c>
    </row>
    <row r="143" spans="1:10" ht="38.25" x14ac:dyDescent="0.25">
      <c r="A143" s="3"/>
      <c r="B143" s="91"/>
      <c r="C143" s="21" t="s">
        <v>93</v>
      </c>
      <c r="D143" s="21" t="s">
        <v>110</v>
      </c>
      <c r="E143" s="21" t="s">
        <v>535</v>
      </c>
      <c r="F143" s="82" t="s">
        <v>211</v>
      </c>
      <c r="G143" s="98" t="s">
        <v>212</v>
      </c>
      <c r="H143" s="41">
        <v>760</v>
      </c>
      <c r="I143" s="41">
        <v>760</v>
      </c>
      <c r="J143" s="41">
        <v>760</v>
      </c>
    </row>
    <row r="144" spans="1:10" ht="25.5" x14ac:dyDescent="0.25">
      <c r="A144" s="3"/>
      <c r="B144" s="91"/>
      <c r="C144" s="21" t="s">
        <v>93</v>
      </c>
      <c r="D144" s="21" t="s">
        <v>110</v>
      </c>
      <c r="E144" s="21" t="s">
        <v>535</v>
      </c>
      <c r="F144" s="82" t="s">
        <v>131</v>
      </c>
      <c r="G144" s="98" t="s">
        <v>132</v>
      </c>
      <c r="H144" s="41">
        <v>5</v>
      </c>
      <c r="I144" s="41">
        <v>5</v>
      </c>
      <c r="J144" s="41">
        <v>5</v>
      </c>
    </row>
    <row r="145" spans="1:10" ht="39" x14ac:dyDescent="0.25">
      <c r="A145" s="3"/>
      <c r="B145" s="91"/>
      <c r="C145" s="28" t="s">
        <v>93</v>
      </c>
      <c r="D145" s="28" t="s">
        <v>121</v>
      </c>
      <c r="E145" s="28"/>
      <c r="F145" s="34"/>
      <c r="G145" s="46" t="s">
        <v>22</v>
      </c>
      <c r="H145" s="40">
        <f>H146</f>
        <v>0</v>
      </c>
      <c r="I145" s="40">
        <f t="shared" ref="I145:J145" si="46">I146</f>
        <v>29.4</v>
      </c>
      <c r="J145" s="40">
        <f t="shared" si="46"/>
        <v>0</v>
      </c>
    </row>
    <row r="146" spans="1:10" ht="90.75" customHeight="1" x14ac:dyDescent="0.25">
      <c r="A146" s="3"/>
      <c r="B146" s="91"/>
      <c r="C146" s="73" t="s">
        <v>93</v>
      </c>
      <c r="D146" s="73" t="s">
        <v>121</v>
      </c>
      <c r="E146" s="73" t="s">
        <v>227</v>
      </c>
      <c r="F146" s="16"/>
      <c r="G146" s="64" t="s">
        <v>588</v>
      </c>
      <c r="H146" s="96">
        <f t="shared" ref="H146:J147" si="47">H147</f>
        <v>0</v>
      </c>
      <c r="I146" s="96">
        <f t="shared" si="47"/>
        <v>29.4</v>
      </c>
      <c r="J146" s="96">
        <f t="shared" si="47"/>
        <v>0</v>
      </c>
    </row>
    <row r="147" spans="1:10" ht="51.75" x14ac:dyDescent="0.25">
      <c r="A147" s="3"/>
      <c r="B147" s="91"/>
      <c r="C147" s="21" t="s">
        <v>93</v>
      </c>
      <c r="D147" s="21" t="s">
        <v>121</v>
      </c>
      <c r="E147" s="52" t="s">
        <v>228</v>
      </c>
      <c r="F147" s="16"/>
      <c r="G147" s="48" t="s">
        <v>229</v>
      </c>
      <c r="H147" s="58">
        <f>H148</f>
        <v>0</v>
      </c>
      <c r="I147" s="58">
        <f t="shared" si="47"/>
        <v>29.4</v>
      </c>
      <c r="J147" s="58">
        <f t="shared" si="47"/>
        <v>0</v>
      </c>
    </row>
    <row r="148" spans="1:10" ht="51.75" x14ac:dyDescent="0.25">
      <c r="A148" s="3"/>
      <c r="B148" s="91"/>
      <c r="C148" s="21" t="s">
        <v>93</v>
      </c>
      <c r="D148" s="21" t="s">
        <v>121</v>
      </c>
      <c r="E148" s="21" t="s">
        <v>230</v>
      </c>
      <c r="F148" s="16"/>
      <c r="G148" s="99" t="s">
        <v>231</v>
      </c>
      <c r="H148" s="94">
        <f>H149+H151</f>
        <v>0</v>
      </c>
      <c r="I148" s="94">
        <f t="shared" ref="I148:J148" si="48">I149+I151</f>
        <v>29.4</v>
      </c>
      <c r="J148" s="94">
        <f t="shared" si="48"/>
        <v>0</v>
      </c>
    </row>
    <row r="149" spans="1:10" ht="38.25" x14ac:dyDescent="0.25">
      <c r="A149" s="3"/>
      <c r="B149" s="91"/>
      <c r="C149" s="21" t="s">
        <v>93</v>
      </c>
      <c r="D149" s="21" t="s">
        <v>121</v>
      </c>
      <c r="E149" s="21" t="s">
        <v>532</v>
      </c>
      <c r="F149" s="16"/>
      <c r="G149" s="98" t="s">
        <v>357</v>
      </c>
      <c r="H149" s="94">
        <f>H150</f>
        <v>0</v>
      </c>
      <c r="I149" s="94">
        <f>I150</f>
        <v>23.4</v>
      </c>
      <c r="J149" s="94">
        <f>J150</f>
        <v>0</v>
      </c>
    </row>
    <row r="150" spans="1:10" ht="38.25" x14ac:dyDescent="0.25">
      <c r="A150" s="3"/>
      <c r="B150" s="91"/>
      <c r="C150" s="21" t="s">
        <v>93</v>
      </c>
      <c r="D150" s="21" t="s">
        <v>121</v>
      </c>
      <c r="E150" s="21" t="s">
        <v>532</v>
      </c>
      <c r="F150" s="82" t="s">
        <v>211</v>
      </c>
      <c r="G150" s="98" t="s">
        <v>212</v>
      </c>
      <c r="H150" s="41">
        <v>0</v>
      </c>
      <c r="I150" s="41">
        <v>23.4</v>
      </c>
      <c r="J150" s="41">
        <v>0</v>
      </c>
    </row>
    <row r="151" spans="1:10" ht="25.5" x14ac:dyDescent="0.25">
      <c r="A151" s="3"/>
      <c r="B151" s="91"/>
      <c r="C151" s="21" t="s">
        <v>93</v>
      </c>
      <c r="D151" s="21" t="s">
        <v>121</v>
      </c>
      <c r="E151" s="21" t="s">
        <v>533</v>
      </c>
      <c r="F151" s="16"/>
      <c r="G151" s="98" t="s">
        <v>358</v>
      </c>
      <c r="H151" s="94">
        <f>H152</f>
        <v>0</v>
      </c>
      <c r="I151" s="94">
        <f>I152</f>
        <v>6</v>
      </c>
      <c r="J151" s="94">
        <f>J152</f>
        <v>0</v>
      </c>
    </row>
    <row r="152" spans="1:10" ht="38.25" x14ac:dyDescent="0.25">
      <c r="A152" s="3"/>
      <c r="B152" s="91"/>
      <c r="C152" s="21" t="s">
        <v>93</v>
      </c>
      <c r="D152" s="21" t="s">
        <v>121</v>
      </c>
      <c r="E152" s="21" t="s">
        <v>533</v>
      </c>
      <c r="F152" s="82" t="s">
        <v>211</v>
      </c>
      <c r="G152" s="98" t="s">
        <v>212</v>
      </c>
      <c r="H152" s="41">
        <v>0</v>
      </c>
      <c r="I152" s="41">
        <v>6</v>
      </c>
      <c r="J152" s="41">
        <v>0</v>
      </c>
    </row>
    <row r="153" spans="1:10" ht="15.75" x14ac:dyDescent="0.25">
      <c r="A153" s="3"/>
      <c r="B153" s="91"/>
      <c r="C153" s="4" t="s">
        <v>94</v>
      </c>
      <c r="D153" s="3"/>
      <c r="E153" s="3"/>
      <c r="F153" s="3"/>
      <c r="G153" s="49" t="s">
        <v>100</v>
      </c>
      <c r="H153" s="59">
        <f>H154+H168+H182+H222</f>
        <v>251083.9</v>
      </c>
      <c r="I153" s="59">
        <f>I154+I168+I182+I222</f>
        <v>182614</v>
      </c>
      <c r="J153" s="59">
        <f>J154+J168+J182+J222</f>
        <v>180426.30000000002</v>
      </c>
    </row>
    <row r="154" spans="1:10" s="32" customFormat="1" ht="14.25" x14ac:dyDescent="0.2">
      <c r="A154" s="29"/>
      <c r="B154" s="24"/>
      <c r="C154" s="30" t="s">
        <v>94</v>
      </c>
      <c r="D154" s="30" t="s">
        <v>95</v>
      </c>
      <c r="E154" s="30"/>
      <c r="F154" s="30"/>
      <c r="G154" s="45" t="s">
        <v>103</v>
      </c>
      <c r="H154" s="40">
        <f>H155+H163</f>
        <v>4459.2</v>
      </c>
      <c r="I154" s="40">
        <f>I155+I163</f>
        <v>2222.9</v>
      </c>
      <c r="J154" s="40">
        <f>J155+J163</f>
        <v>2222.9</v>
      </c>
    </row>
    <row r="155" spans="1:10" s="32" customFormat="1" ht="89.25" x14ac:dyDescent="0.2">
      <c r="A155" s="29"/>
      <c r="B155" s="24"/>
      <c r="C155" s="82" t="s">
        <v>94</v>
      </c>
      <c r="D155" s="82" t="s">
        <v>95</v>
      </c>
      <c r="E155" s="73" t="s">
        <v>69</v>
      </c>
      <c r="F155" s="16"/>
      <c r="G155" s="142" t="s">
        <v>576</v>
      </c>
      <c r="H155" s="96">
        <f>H156</f>
        <v>3298.7</v>
      </c>
      <c r="I155" s="96">
        <f>I156</f>
        <v>2159.9</v>
      </c>
      <c r="J155" s="96">
        <f>J156</f>
        <v>2159.9</v>
      </c>
    </row>
    <row r="156" spans="1:10" s="32" customFormat="1" ht="38.25" x14ac:dyDescent="0.2">
      <c r="A156" s="29"/>
      <c r="B156" s="24"/>
      <c r="C156" s="82" t="s">
        <v>94</v>
      </c>
      <c r="D156" s="82" t="s">
        <v>95</v>
      </c>
      <c r="E156" s="52" t="s">
        <v>163</v>
      </c>
      <c r="F156" s="16"/>
      <c r="G156" s="99" t="s">
        <v>162</v>
      </c>
      <c r="H156" s="39">
        <f>H157</f>
        <v>3298.7</v>
      </c>
      <c r="I156" s="39">
        <f t="shared" ref="I156:J156" si="49">I157</f>
        <v>2159.9</v>
      </c>
      <c r="J156" s="39">
        <f t="shared" si="49"/>
        <v>2159.9</v>
      </c>
    </row>
    <row r="157" spans="1:10" s="32" customFormat="1" ht="25.5" x14ac:dyDescent="0.2">
      <c r="A157" s="29"/>
      <c r="B157" s="24"/>
      <c r="C157" s="16" t="s">
        <v>94</v>
      </c>
      <c r="D157" s="82" t="s">
        <v>95</v>
      </c>
      <c r="E157" s="21" t="s">
        <v>340</v>
      </c>
      <c r="F157" s="82"/>
      <c r="G157" s="99" t="s">
        <v>336</v>
      </c>
      <c r="H157" s="41">
        <f>H158+H160</f>
        <v>3298.7</v>
      </c>
      <c r="I157" s="41">
        <f t="shared" ref="I157:J157" si="50">I158+I160</f>
        <v>2159.9</v>
      </c>
      <c r="J157" s="41">
        <f t="shared" si="50"/>
        <v>2159.9</v>
      </c>
    </row>
    <row r="158" spans="1:10" s="32" customFormat="1" ht="38.25" x14ac:dyDescent="0.2">
      <c r="A158" s="29"/>
      <c r="B158" s="24"/>
      <c r="C158" s="82" t="s">
        <v>94</v>
      </c>
      <c r="D158" s="82" t="s">
        <v>95</v>
      </c>
      <c r="E158" s="21" t="s">
        <v>619</v>
      </c>
      <c r="F158" s="16"/>
      <c r="G158" s="99" t="s">
        <v>644</v>
      </c>
      <c r="H158" s="39">
        <f>H159</f>
        <v>2400</v>
      </c>
      <c r="I158" s="39">
        <f t="shared" ref="I158:J158" si="51">I159</f>
        <v>2159.9</v>
      </c>
      <c r="J158" s="39">
        <f t="shared" si="51"/>
        <v>2159.9</v>
      </c>
    </row>
    <row r="159" spans="1:10" s="32" customFormat="1" ht="38.25" x14ac:dyDescent="0.2">
      <c r="A159" s="29"/>
      <c r="B159" s="24"/>
      <c r="C159" s="82" t="s">
        <v>94</v>
      </c>
      <c r="D159" s="82" t="s">
        <v>95</v>
      </c>
      <c r="E159" s="21" t="s">
        <v>619</v>
      </c>
      <c r="F159" s="82" t="s">
        <v>211</v>
      </c>
      <c r="G159" s="98" t="s">
        <v>212</v>
      </c>
      <c r="H159" s="39">
        <f>1500+890.1+9.9</f>
        <v>2400</v>
      </c>
      <c r="I159" s="39">
        <v>2159.9</v>
      </c>
      <c r="J159" s="39">
        <v>2159.9</v>
      </c>
    </row>
    <row r="160" spans="1:10" s="32" customFormat="1" ht="89.25" x14ac:dyDescent="0.2">
      <c r="A160" s="29"/>
      <c r="B160" s="24"/>
      <c r="C160" s="82" t="s">
        <v>94</v>
      </c>
      <c r="D160" s="82" t="s">
        <v>95</v>
      </c>
      <c r="E160" s="21" t="s">
        <v>760</v>
      </c>
      <c r="F160" s="82"/>
      <c r="G160" s="98" t="s">
        <v>761</v>
      </c>
      <c r="H160" s="39">
        <f>SUM(H161:H162)</f>
        <v>898.7</v>
      </c>
      <c r="I160" s="39">
        <f t="shared" ref="I160:J160" si="52">I161</f>
        <v>0</v>
      </c>
      <c r="J160" s="39">
        <f t="shared" si="52"/>
        <v>0</v>
      </c>
    </row>
    <row r="161" spans="1:10" s="32" customFormat="1" ht="38.25" x14ac:dyDescent="0.2">
      <c r="A161" s="29"/>
      <c r="B161" s="24"/>
      <c r="C161" s="82" t="s">
        <v>94</v>
      </c>
      <c r="D161" s="82" t="s">
        <v>95</v>
      </c>
      <c r="E161" s="21" t="s">
        <v>760</v>
      </c>
      <c r="F161" s="82" t="s">
        <v>211</v>
      </c>
      <c r="G161" s="98" t="s">
        <v>212</v>
      </c>
      <c r="H161" s="39">
        <v>738.2</v>
      </c>
      <c r="I161" s="39">
        <v>0</v>
      </c>
      <c r="J161" s="39">
        <v>0</v>
      </c>
    </row>
    <row r="162" spans="1:10" s="32" customFormat="1" ht="14.25" x14ac:dyDescent="0.2">
      <c r="A162" s="29"/>
      <c r="B162" s="24"/>
      <c r="C162" s="82" t="s">
        <v>94</v>
      </c>
      <c r="D162" s="82" t="s">
        <v>95</v>
      </c>
      <c r="E162" s="21" t="s">
        <v>760</v>
      </c>
      <c r="F162" s="82" t="s">
        <v>750</v>
      </c>
      <c r="G162" s="98" t="s">
        <v>751</v>
      </c>
      <c r="H162" s="39">
        <v>160.5</v>
      </c>
      <c r="I162" s="39">
        <v>0</v>
      </c>
      <c r="J162" s="39">
        <v>0</v>
      </c>
    </row>
    <row r="163" spans="1:10" s="32" customFormat="1" ht="89.25" x14ac:dyDescent="0.2">
      <c r="A163" s="29"/>
      <c r="B163" s="24"/>
      <c r="C163" s="17" t="s">
        <v>94</v>
      </c>
      <c r="D163" s="17" t="s">
        <v>95</v>
      </c>
      <c r="E163" s="74">
        <v>400000000</v>
      </c>
      <c r="F163" s="30"/>
      <c r="G163" s="141" t="s">
        <v>575</v>
      </c>
      <c r="H163" s="96">
        <f t="shared" ref="H163:J166" si="53">H164</f>
        <v>1160.5</v>
      </c>
      <c r="I163" s="96">
        <f t="shared" si="53"/>
        <v>63</v>
      </c>
      <c r="J163" s="96">
        <f t="shared" si="53"/>
        <v>63</v>
      </c>
    </row>
    <row r="164" spans="1:10" s="32" customFormat="1" ht="51" customHeight="1" x14ac:dyDescent="0.2">
      <c r="A164" s="29"/>
      <c r="B164" s="24"/>
      <c r="C164" s="47" t="s">
        <v>94</v>
      </c>
      <c r="D164" s="47" t="s">
        <v>95</v>
      </c>
      <c r="E164" s="75">
        <v>410000000</v>
      </c>
      <c r="F164" s="30"/>
      <c r="G164" s="46" t="s">
        <v>462</v>
      </c>
      <c r="H164" s="93">
        <f t="shared" si="53"/>
        <v>1160.5</v>
      </c>
      <c r="I164" s="93">
        <f t="shared" si="53"/>
        <v>63</v>
      </c>
      <c r="J164" s="93">
        <f t="shared" si="53"/>
        <v>63</v>
      </c>
    </row>
    <row r="165" spans="1:10" s="32" customFormat="1" ht="51" x14ac:dyDescent="0.2">
      <c r="A165" s="29"/>
      <c r="B165" s="24"/>
      <c r="C165" s="82" t="s">
        <v>94</v>
      </c>
      <c r="D165" s="82" t="s">
        <v>95</v>
      </c>
      <c r="E165" s="74">
        <v>410100000</v>
      </c>
      <c r="F165" s="30"/>
      <c r="G165" s="97" t="s">
        <v>463</v>
      </c>
      <c r="H165" s="93">
        <f>H166</f>
        <v>1160.5</v>
      </c>
      <c r="I165" s="93">
        <f t="shared" si="53"/>
        <v>63</v>
      </c>
      <c r="J165" s="93">
        <f t="shared" si="53"/>
        <v>63</v>
      </c>
    </row>
    <row r="166" spans="1:10" s="32" customFormat="1" ht="25.5" x14ac:dyDescent="0.2">
      <c r="A166" s="29"/>
      <c r="B166" s="24"/>
      <c r="C166" s="82" t="s">
        <v>94</v>
      </c>
      <c r="D166" s="82" t="s">
        <v>95</v>
      </c>
      <c r="E166" s="135" t="s">
        <v>629</v>
      </c>
      <c r="F166" s="16"/>
      <c r="G166" s="99" t="s">
        <v>169</v>
      </c>
      <c r="H166" s="39">
        <f>H167</f>
        <v>1160.5</v>
      </c>
      <c r="I166" s="39">
        <f t="shared" si="53"/>
        <v>63</v>
      </c>
      <c r="J166" s="39">
        <f t="shared" si="53"/>
        <v>63</v>
      </c>
    </row>
    <row r="167" spans="1:10" s="32" customFormat="1" ht="38.25" x14ac:dyDescent="0.2">
      <c r="A167" s="29"/>
      <c r="B167" s="24"/>
      <c r="C167" s="82" t="s">
        <v>94</v>
      </c>
      <c r="D167" s="82" t="s">
        <v>95</v>
      </c>
      <c r="E167" s="135" t="s">
        <v>629</v>
      </c>
      <c r="F167" s="82" t="s">
        <v>211</v>
      </c>
      <c r="G167" s="98" t="s">
        <v>212</v>
      </c>
      <c r="H167" s="39">
        <v>1160.5</v>
      </c>
      <c r="I167" s="39">
        <v>63</v>
      </c>
      <c r="J167" s="39">
        <v>63</v>
      </c>
    </row>
    <row r="168" spans="1:10" ht="14.25" x14ac:dyDescent="0.2">
      <c r="A168" s="1"/>
      <c r="B168" s="25"/>
      <c r="C168" s="30" t="s">
        <v>94</v>
      </c>
      <c r="D168" s="30" t="s">
        <v>101</v>
      </c>
      <c r="E168" s="30"/>
      <c r="F168" s="30"/>
      <c r="G168" s="27" t="s">
        <v>1</v>
      </c>
      <c r="H168" s="40">
        <f t="shared" ref="H168:J168" si="54">H169</f>
        <v>30563.8</v>
      </c>
      <c r="I168" s="40">
        <f t="shared" si="54"/>
        <v>30503.600000000002</v>
      </c>
      <c r="J168" s="40">
        <f t="shared" si="54"/>
        <v>30447.100000000002</v>
      </c>
    </row>
    <row r="169" spans="1:10" ht="102" x14ac:dyDescent="0.2">
      <c r="A169" s="1"/>
      <c r="B169" s="25"/>
      <c r="C169" s="5" t="s">
        <v>94</v>
      </c>
      <c r="D169" s="5" t="s">
        <v>101</v>
      </c>
      <c r="E169" s="73" t="s">
        <v>67</v>
      </c>
      <c r="F169" s="30"/>
      <c r="G169" s="141" t="s">
        <v>581</v>
      </c>
      <c r="H169" s="96">
        <f t="shared" ref="H169:J170" si="55">H170</f>
        <v>30563.8</v>
      </c>
      <c r="I169" s="96">
        <f t="shared" si="55"/>
        <v>30503.600000000002</v>
      </c>
      <c r="J169" s="96">
        <f t="shared" si="55"/>
        <v>30447.100000000002</v>
      </c>
    </row>
    <row r="170" spans="1:10" ht="63.75" x14ac:dyDescent="0.2">
      <c r="A170" s="1"/>
      <c r="B170" s="25"/>
      <c r="C170" s="16" t="s">
        <v>94</v>
      </c>
      <c r="D170" s="16" t="s">
        <v>101</v>
      </c>
      <c r="E170" s="52" t="s">
        <v>214</v>
      </c>
      <c r="F170" s="30"/>
      <c r="G170" s="46" t="s">
        <v>186</v>
      </c>
      <c r="H170" s="93">
        <f>H171</f>
        <v>30563.8</v>
      </c>
      <c r="I170" s="93">
        <f t="shared" si="55"/>
        <v>30503.600000000002</v>
      </c>
      <c r="J170" s="93">
        <f t="shared" si="55"/>
        <v>30447.100000000002</v>
      </c>
    </row>
    <row r="171" spans="1:10" ht="25.5" x14ac:dyDescent="0.2">
      <c r="A171" s="1"/>
      <c r="B171" s="25"/>
      <c r="C171" s="16" t="s">
        <v>94</v>
      </c>
      <c r="D171" s="16" t="s">
        <v>101</v>
      </c>
      <c r="E171" s="74">
        <v>920100000</v>
      </c>
      <c r="F171" s="30"/>
      <c r="G171" s="97" t="s">
        <v>296</v>
      </c>
      <c r="H171" s="39">
        <f>H172+H174+H176+H178+H180</f>
        <v>30563.8</v>
      </c>
      <c r="I171" s="39">
        <f t="shared" ref="I171:J171" si="56">I172+I174+I176+I178+I180</f>
        <v>30503.600000000002</v>
      </c>
      <c r="J171" s="39">
        <f t="shared" si="56"/>
        <v>30447.100000000002</v>
      </c>
    </row>
    <row r="172" spans="1:10" ht="76.5" x14ac:dyDescent="0.2">
      <c r="A172" s="1"/>
      <c r="B172" s="25"/>
      <c r="C172" s="16" t="s">
        <v>94</v>
      </c>
      <c r="D172" s="16" t="s">
        <v>101</v>
      </c>
      <c r="E172" s="74" t="s">
        <v>304</v>
      </c>
      <c r="F172" s="30"/>
      <c r="G172" s="97" t="s">
        <v>215</v>
      </c>
      <c r="H172" s="39">
        <f>H173</f>
        <v>5040</v>
      </c>
      <c r="I172" s="39">
        <f>I173</f>
        <v>5055.2</v>
      </c>
      <c r="J172" s="39">
        <f>J173</f>
        <v>5054.8999999999996</v>
      </c>
    </row>
    <row r="173" spans="1:10" ht="38.25" x14ac:dyDescent="0.2">
      <c r="A173" s="1"/>
      <c r="B173" s="25"/>
      <c r="C173" s="16" t="s">
        <v>94</v>
      </c>
      <c r="D173" s="16" t="s">
        <v>101</v>
      </c>
      <c r="E173" s="74" t="s">
        <v>304</v>
      </c>
      <c r="F173" s="82" t="s">
        <v>211</v>
      </c>
      <c r="G173" s="98" t="s">
        <v>212</v>
      </c>
      <c r="H173" s="39">
        <v>5040</v>
      </c>
      <c r="I173" s="39">
        <v>5055.2</v>
      </c>
      <c r="J173" s="39">
        <v>5054.8999999999996</v>
      </c>
    </row>
    <row r="174" spans="1:10" ht="53.25" customHeight="1" x14ac:dyDescent="0.2">
      <c r="A174" s="1"/>
      <c r="B174" s="25"/>
      <c r="C174" s="16" t="s">
        <v>94</v>
      </c>
      <c r="D174" s="16" t="s">
        <v>101</v>
      </c>
      <c r="E174" s="74">
        <v>920110300</v>
      </c>
      <c r="F174" s="16"/>
      <c r="G174" s="97" t="s">
        <v>648</v>
      </c>
      <c r="H174" s="39">
        <f>H175</f>
        <v>20160.099999999999</v>
      </c>
      <c r="I174" s="39">
        <f>I175</f>
        <v>20220.7</v>
      </c>
      <c r="J174" s="39">
        <f>J175</f>
        <v>20219.5</v>
      </c>
    </row>
    <row r="175" spans="1:10" ht="38.25" x14ac:dyDescent="0.2">
      <c r="A175" s="1"/>
      <c r="B175" s="25"/>
      <c r="C175" s="16" t="s">
        <v>94</v>
      </c>
      <c r="D175" s="16" t="s">
        <v>101</v>
      </c>
      <c r="E175" s="74">
        <v>920110300</v>
      </c>
      <c r="F175" s="82" t="s">
        <v>211</v>
      </c>
      <c r="G175" s="98" t="s">
        <v>212</v>
      </c>
      <c r="H175" s="39">
        <v>20160.099999999999</v>
      </c>
      <c r="I175" s="39">
        <v>20220.7</v>
      </c>
      <c r="J175" s="39">
        <v>20219.5</v>
      </c>
    </row>
    <row r="176" spans="1:10" ht="63.75" x14ac:dyDescent="0.2">
      <c r="A176" s="1"/>
      <c r="B176" s="25"/>
      <c r="C176" s="16" t="s">
        <v>94</v>
      </c>
      <c r="D176" s="16" t="s">
        <v>101</v>
      </c>
      <c r="E176" s="74">
        <v>920123485</v>
      </c>
      <c r="F176" s="82"/>
      <c r="G176" s="54" t="s">
        <v>668</v>
      </c>
      <c r="H176" s="39">
        <f>H177</f>
        <v>2707.5</v>
      </c>
      <c r="I176" s="39">
        <f t="shared" ref="I176:J176" si="57">I177</f>
        <v>1413.8</v>
      </c>
      <c r="J176" s="39">
        <f t="shared" si="57"/>
        <v>1413.8</v>
      </c>
    </row>
    <row r="177" spans="1:10" ht="38.25" x14ac:dyDescent="0.2">
      <c r="A177" s="1"/>
      <c r="B177" s="25"/>
      <c r="C177" s="16" t="s">
        <v>94</v>
      </c>
      <c r="D177" s="16" t="s">
        <v>101</v>
      </c>
      <c r="E177" s="74">
        <v>920123485</v>
      </c>
      <c r="F177" s="82" t="s">
        <v>211</v>
      </c>
      <c r="G177" s="98" t="s">
        <v>212</v>
      </c>
      <c r="H177" s="39">
        <f>1413.8+979.2+314.5</f>
        <v>2707.5</v>
      </c>
      <c r="I177" s="39">
        <v>1413.8</v>
      </c>
      <c r="J177" s="39">
        <v>1413.8</v>
      </c>
    </row>
    <row r="178" spans="1:10" ht="63.75" x14ac:dyDescent="0.2">
      <c r="A178" s="1"/>
      <c r="B178" s="25"/>
      <c r="C178" s="16" t="s">
        <v>94</v>
      </c>
      <c r="D178" s="16" t="s">
        <v>101</v>
      </c>
      <c r="E178" s="74">
        <v>920123490</v>
      </c>
      <c r="F178" s="82"/>
      <c r="G178" s="54" t="s">
        <v>512</v>
      </c>
      <c r="H178" s="39">
        <f>H179</f>
        <v>0</v>
      </c>
      <c r="I178" s="39">
        <f>I179</f>
        <v>55</v>
      </c>
      <c r="J178" s="39">
        <f>J179</f>
        <v>0</v>
      </c>
    </row>
    <row r="179" spans="1:10" ht="38.25" x14ac:dyDescent="0.2">
      <c r="A179" s="1"/>
      <c r="B179" s="25"/>
      <c r="C179" s="16" t="s">
        <v>94</v>
      </c>
      <c r="D179" s="16" t="s">
        <v>101</v>
      </c>
      <c r="E179" s="74">
        <v>920123490</v>
      </c>
      <c r="F179" s="82" t="s">
        <v>211</v>
      </c>
      <c r="G179" s="98" t="s">
        <v>212</v>
      </c>
      <c r="H179" s="39">
        <v>0</v>
      </c>
      <c r="I179" s="39">
        <v>55</v>
      </c>
      <c r="J179" s="39">
        <v>0</v>
      </c>
    </row>
    <row r="180" spans="1:10" ht="77.25" customHeight="1" x14ac:dyDescent="0.2">
      <c r="A180" s="1"/>
      <c r="B180" s="25"/>
      <c r="C180" s="16" t="s">
        <v>94</v>
      </c>
      <c r="D180" s="16" t="s">
        <v>101</v>
      </c>
      <c r="E180" s="74">
        <v>920123495</v>
      </c>
      <c r="F180" s="82"/>
      <c r="G180" s="54" t="s">
        <v>561</v>
      </c>
      <c r="H180" s="39">
        <f>H181</f>
        <v>2656.2</v>
      </c>
      <c r="I180" s="39">
        <f>I181</f>
        <v>3758.9</v>
      </c>
      <c r="J180" s="39">
        <f>J181</f>
        <v>3758.9</v>
      </c>
    </row>
    <row r="181" spans="1:10" ht="38.25" x14ac:dyDescent="0.2">
      <c r="A181" s="1"/>
      <c r="B181" s="25"/>
      <c r="C181" s="16" t="s">
        <v>94</v>
      </c>
      <c r="D181" s="16" t="s">
        <v>101</v>
      </c>
      <c r="E181" s="74">
        <v>920123495</v>
      </c>
      <c r="F181" s="82" t="s">
        <v>211</v>
      </c>
      <c r="G181" s="98" t="s">
        <v>212</v>
      </c>
      <c r="H181" s="39">
        <f>2500+156.2</f>
        <v>2656.2</v>
      </c>
      <c r="I181" s="39">
        <v>3758.9</v>
      </c>
      <c r="J181" s="39">
        <v>3758.9</v>
      </c>
    </row>
    <row r="182" spans="1:10" ht="28.5" x14ac:dyDescent="0.2">
      <c r="A182" s="1"/>
      <c r="B182" s="25"/>
      <c r="C182" s="30" t="s">
        <v>94</v>
      </c>
      <c r="D182" s="30" t="s">
        <v>99</v>
      </c>
      <c r="E182" s="30"/>
      <c r="F182" s="30"/>
      <c r="G182" s="50" t="s">
        <v>198</v>
      </c>
      <c r="H182" s="40">
        <f>+H183+H206</f>
        <v>213368.9</v>
      </c>
      <c r="I182" s="40">
        <f>+I183+I206</f>
        <v>148481.29999999999</v>
      </c>
      <c r="J182" s="40">
        <f>+J183+J206</f>
        <v>146350.1</v>
      </c>
    </row>
    <row r="183" spans="1:10" ht="102" x14ac:dyDescent="0.2">
      <c r="A183" s="1"/>
      <c r="B183" s="25"/>
      <c r="C183" s="5" t="s">
        <v>94</v>
      </c>
      <c r="D183" s="5" t="s">
        <v>99</v>
      </c>
      <c r="E183" s="73" t="s">
        <v>67</v>
      </c>
      <c r="F183" s="30"/>
      <c r="G183" s="141" t="s">
        <v>581</v>
      </c>
      <c r="H183" s="96">
        <f t="shared" ref="H183:J184" si="58">H184</f>
        <v>208423</v>
      </c>
      <c r="I183" s="96">
        <f t="shared" si="58"/>
        <v>141596.4</v>
      </c>
      <c r="J183" s="96">
        <f t="shared" si="58"/>
        <v>141652.9</v>
      </c>
    </row>
    <row r="184" spans="1:10" ht="63.75" x14ac:dyDescent="0.2">
      <c r="A184" s="1"/>
      <c r="B184" s="25"/>
      <c r="C184" s="16" t="s">
        <v>94</v>
      </c>
      <c r="D184" s="16" t="s">
        <v>99</v>
      </c>
      <c r="E184" s="52" t="s">
        <v>68</v>
      </c>
      <c r="F184" s="30"/>
      <c r="G184" s="46" t="s">
        <v>165</v>
      </c>
      <c r="H184" s="93">
        <f>H185</f>
        <v>208423</v>
      </c>
      <c r="I184" s="93">
        <f t="shared" si="58"/>
        <v>141596.4</v>
      </c>
      <c r="J184" s="93">
        <f t="shared" si="58"/>
        <v>141652.9</v>
      </c>
    </row>
    <row r="185" spans="1:10" ht="38.25" x14ac:dyDescent="0.2">
      <c r="A185" s="1"/>
      <c r="B185" s="25"/>
      <c r="C185" s="16" t="s">
        <v>94</v>
      </c>
      <c r="D185" s="16" t="s">
        <v>99</v>
      </c>
      <c r="E185" s="21" t="s">
        <v>295</v>
      </c>
      <c r="F185" s="30"/>
      <c r="G185" s="97" t="s">
        <v>306</v>
      </c>
      <c r="H185" s="39">
        <f>H186+H188+H190+H192+H194+H196+H198+H200+H202+H204</f>
        <v>208423</v>
      </c>
      <c r="I185" s="39">
        <f t="shared" ref="I185:J185" si="59">I186+I188+I190+I192+I194+I196+I198+I200+I202+I204</f>
        <v>141596.4</v>
      </c>
      <c r="J185" s="39">
        <f t="shared" si="59"/>
        <v>141652.9</v>
      </c>
    </row>
    <row r="186" spans="1:10" ht="89.25" x14ac:dyDescent="0.2">
      <c r="A186" s="1"/>
      <c r="B186" s="25"/>
      <c r="C186" s="16" t="s">
        <v>94</v>
      </c>
      <c r="D186" s="16" t="s">
        <v>99</v>
      </c>
      <c r="E186" s="74">
        <v>910123405</v>
      </c>
      <c r="F186" s="30"/>
      <c r="G186" s="97" t="s">
        <v>294</v>
      </c>
      <c r="H186" s="39">
        <f>H187</f>
        <v>15159.4</v>
      </c>
      <c r="I186" s="39">
        <f>I187</f>
        <v>15386.8</v>
      </c>
      <c r="J186" s="39">
        <f>J187</f>
        <v>16489.8</v>
      </c>
    </row>
    <row r="187" spans="1:10" ht="38.25" x14ac:dyDescent="0.2">
      <c r="A187" s="1"/>
      <c r="B187" s="25"/>
      <c r="C187" s="16" t="s">
        <v>94</v>
      </c>
      <c r="D187" s="16" t="s">
        <v>99</v>
      </c>
      <c r="E187" s="74">
        <v>910123405</v>
      </c>
      <c r="F187" s="82" t="s">
        <v>211</v>
      </c>
      <c r="G187" s="98" t="s">
        <v>212</v>
      </c>
      <c r="H187" s="39">
        <f>15759.4-600</f>
        <v>15159.4</v>
      </c>
      <c r="I187" s="39">
        <v>15386.8</v>
      </c>
      <c r="J187" s="39">
        <v>16489.8</v>
      </c>
    </row>
    <row r="188" spans="1:10" ht="62.25" customHeight="1" x14ac:dyDescent="0.2">
      <c r="A188" s="1"/>
      <c r="B188" s="25"/>
      <c r="C188" s="16" t="s">
        <v>94</v>
      </c>
      <c r="D188" s="16" t="s">
        <v>99</v>
      </c>
      <c r="E188" s="74">
        <v>910110520</v>
      </c>
      <c r="F188" s="30"/>
      <c r="G188" s="97" t="s">
        <v>184</v>
      </c>
      <c r="H188" s="39">
        <f>H189</f>
        <v>25070.9</v>
      </c>
      <c r="I188" s="39">
        <f>I189</f>
        <v>26073.7</v>
      </c>
      <c r="J188" s="39">
        <f>J189</f>
        <v>27116.6</v>
      </c>
    </row>
    <row r="189" spans="1:10" ht="38.25" x14ac:dyDescent="0.2">
      <c r="A189" s="1"/>
      <c r="B189" s="25"/>
      <c r="C189" s="16" t="s">
        <v>94</v>
      </c>
      <c r="D189" s="16" t="s">
        <v>99</v>
      </c>
      <c r="E189" s="74">
        <v>910110520</v>
      </c>
      <c r="F189" s="82" t="s">
        <v>211</v>
      </c>
      <c r="G189" s="98" t="s">
        <v>212</v>
      </c>
      <c r="H189" s="1">
        <v>25070.9</v>
      </c>
      <c r="I189" s="39">
        <v>26073.7</v>
      </c>
      <c r="J189" s="1">
        <v>27116.6</v>
      </c>
    </row>
    <row r="190" spans="1:10" ht="25.5" x14ac:dyDescent="0.2">
      <c r="A190" s="1"/>
      <c r="B190" s="25"/>
      <c r="C190" s="16" t="s">
        <v>94</v>
      </c>
      <c r="D190" s="16" t="s">
        <v>99</v>
      </c>
      <c r="E190" s="74">
        <v>910123410</v>
      </c>
      <c r="F190" s="16"/>
      <c r="G190" s="98" t="s">
        <v>185</v>
      </c>
      <c r="H190" s="39">
        <f>H191</f>
        <v>25159.8</v>
      </c>
      <c r="I190" s="39">
        <f>I191</f>
        <v>21684.6</v>
      </c>
      <c r="J190" s="39">
        <f>J191</f>
        <v>16457</v>
      </c>
    </row>
    <row r="191" spans="1:10" ht="38.25" x14ac:dyDescent="0.2">
      <c r="A191" s="1"/>
      <c r="B191" s="25"/>
      <c r="C191" s="16" t="s">
        <v>94</v>
      </c>
      <c r="D191" s="16" t="s">
        <v>99</v>
      </c>
      <c r="E191" s="74">
        <v>910123410</v>
      </c>
      <c r="F191" s="82" t="s">
        <v>211</v>
      </c>
      <c r="G191" s="98" t="s">
        <v>212</v>
      </c>
      <c r="H191" s="39">
        <f>25695.2-535.4</f>
        <v>25159.8</v>
      </c>
      <c r="I191" s="39">
        <v>21684.6</v>
      </c>
      <c r="J191" s="39">
        <v>16457</v>
      </c>
    </row>
    <row r="192" spans="1:10" ht="102" x14ac:dyDescent="0.2">
      <c r="A192" s="1"/>
      <c r="B192" s="25"/>
      <c r="C192" s="16" t="s">
        <v>94</v>
      </c>
      <c r="D192" s="16" t="s">
        <v>99</v>
      </c>
      <c r="E192" s="74">
        <v>910123415</v>
      </c>
      <c r="F192" s="82"/>
      <c r="G192" s="130" t="s">
        <v>726</v>
      </c>
      <c r="H192" s="39">
        <f>H193</f>
        <v>2250</v>
      </c>
      <c r="I192" s="39">
        <f t="shared" ref="I192:J192" si="60">I193</f>
        <v>0</v>
      </c>
      <c r="J192" s="39">
        <f t="shared" si="60"/>
        <v>0</v>
      </c>
    </row>
    <row r="193" spans="1:10" ht="38.25" x14ac:dyDescent="0.2">
      <c r="A193" s="1"/>
      <c r="B193" s="25"/>
      <c r="C193" s="16" t="s">
        <v>94</v>
      </c>
      <c r="D193" s="16" t="s">
        <v>99</v>
      </c>
      <c r="E193" s="74">
        <v>910123415</v>
      </c>
      <c r="F193" s="82" t="s">
        <v>211</v>
      </c>
      <c r="G193" s="98" t="s">
        <v>212</v>
      </c>
      <c r="H193" s="39">
        <v>2250</v>
      </c>
      <c r="I193" s="39">
        <v>0</v>
      </c>
      <c r="J193" s="39">
        <v>0</v>
      </c>
    </row>
    <row r="194" spans="1:10" ht="51" x14ac:dyDescent="0.2">
      <c r="A194" s="1"/>
      <c r="B194" s="25"/>
      <c r="C194" s="16" t="s">
        <v>94</v>
      </c>
      <c r="D194" s="16" t="s">
        <v>99</v>
      </c>
      <c r="E194" s="74" t="s">
        <v>346</v>
      </c>
      <c r="F194" s="82"/>
      <c r="G194" s="123" t="s">
        <v>345</v>
      </c>
      <c r="H194" s="39">
        <f>H195</f>
        <v>1157.0999999999999</v>
      </c>
      <c r="I194" s="39">
        <f>I195</f>
        <v>1267.4000000000001</v>
      </c>
      <c r="J194" s="39">
        <f>J195</f>
        <v>1318.2</v>
      </c>
    </row>
    <row r="195" spans="1:10" ht="38.25" x14ac:dyDescent="0.2">
      <c r="A195" s="1"/>
      <c r="B195" s="25"/>
      <c r="C195" s="16" t="s">
        <v>94</v>
      </c>
      <c r="D195" s="16" t="s">
        <v>99</v>
      </c>
      <c r="E195" s="74" t="s">
        <v>346</v>
      </c>
      <c r="F195" s="82" t="s">
        <v>211</v>
      </c>
      <c r="G195" s="98" t="s">
        <v>212</v>
      </c>
      <c r="H195" s="39">
        <f>1218.7+452.9+200-714.5</f>
        <v>1157.0999999999999</v>
      </c>
      <c r="I195" s="39">
        <v>1267.4000000000001</v>
      </c>
      <c r="J195" s="39">
        <v>1318.2</v>
      </c>
    </row>
    <row r="196" spans="1:10" ht="63.75" x14ac:dyDescent="0.2">
      <c r="A196" s="1"/>
      <c r="B196" s="25"/>
      <c r="C196" s="16" t="s">
        <v>94</v>
      </c>
      <c r="D196" s="16" t="s">
        <v>99</v>
      </c>
      <c r="E196" s="137" t="s">
        <v>509</v>
      </c>
      <c r="F196" s="82"/>
      <c r="G196" s="123" t="s">
        <v>347</v>
      </c>
      <c r="H196" s="39">
        <f>H197</f>
        <v>10968</v>
      </c>
      <c r="I196" s="39">
        <f>I197</f>
        <v>11406.7</v>
      </c>
      <c r="J196" s="39">
        <f>J197</f>
        <v>11863</v>
      </c>
    </row>
    <row r="197" spans="1:10" ht="38.25" x14ac:dyDescent="0.2">
      <c r="A197" s="1"/>
      <c r="B197" s="25"/>
      <c r="C197" s="16" t="s">
        <v>94</v>
      </c>
      <c r="D197" s="16" t="s">
        <v>99</v>
      </c>
      <c r="E197" s="137" t="s">
        <v>509</v>
      </c>
      <c r="F197" s="82" t="s">
        <v>211</v>
      </c>
      <c r="G197" s="98" t="s">
        <v>212</v>
      </c>
      <c r="H197" s="39">
        <v>10968</v>
      </c>
      <c r="I197" s="39">
        <v>11406.7</v>
      </c>
      <c r="J197" s="39">
        <v>11863</v>
      </c>
    </row>
    <row r="198" spans="1:10" ht="25.5" x14ac:dyDescent="0.2">
      <c r="A198" s="1"/>
      <c r="B198" s="25"/>
      <c r="C198" s="16" t="s">
        <v>94</v>
      </c>
      <c r="D198" s="16" t="s">
        <v>99</v>
      </c>
      <c r="E198" s="74" t="s">
        <v>342</v>
      </c>
      <c r="F198" s="82"/>
      <c r="G198" s="98" t="s">
        <v>343</v>
      </c>
      <c r="H198" s="39">
        <f>H199</f>
        <v>13904.5</v>
      </c>
      <c r="I198" s="39">
        <f>I199</f>
        <v>6577.7</v>
      </c>
      <c r="J198" s="39">
        <f>J199</f>
        <v>6840.8</v>
      </c>
    </row>
    <row r="199" spans="1:10" ht="38.25" x14ac:dyDescent="0.2">
      <c r="A199" s="1"/>
      <c r="B199" s="25"/>
      <c r="C199" s="16" t="s">
        <v>94</v>
      </c>
      <c r="D199" s="16" t="s">
        <v>99</v>
      </c>
      <c r="E199" s="74" t="s">
        <v>342</v>
      </c>
      <c r="F199" s="82" t="s">
        <v>211</v>
      </c>
      <c r="G199" s="98" t="s">
        <v>212</v>
      </c>
      <c r="H199" s="39">
        <f>8777.9+6107.5-980.9</f>
        <v>13904.5</v>
      </c>
      <c r="I199" s="39">
        <v>6577.7</v>
      </c>
      <c r="J199" s="39">
        <v>6840.8</v>
      </c>
    </row>
    <row r="200" spans="1:10" ht="25.5" x14ac:dyDescent="0.2">
      <c r="A200" s="1"/>
      <c r="B200" s="25"/>
      <c r="C200" s="16" t="s">
        <v>94</v>
      </c>
      <c r="D200" s="16" t="s">
        <v>99</v>
      </c>
      <c r="E200" s="139" t="s">
        <v>510</v>
      </c>
      <c r="F200" s="82"/>
      <c r="G200" s="98" t="s">
        <v>344</v>
      </c>
      <c r="H200" s="39">
        <f>H201</f>
        <v>101125.1</v>
      </c>
      <c r="I200" s="39">
        <f>I201</f>
        <v>59199.5</v>
      </c>
      <c r="J200" s="39">
        <f>J201</f>
        <v>61567.5</v>
      </c>
    </row>
    <row r="201" spans="1:10" ht="38.25" x14ac:dyDescent="0.2">
      <c r="A201" s="1"/>
      <c r="B201" s="25"/>
      <c r="C201" s="16" t="s">
        <v>94</v>
      </c>
      <c r="D201" s="16" t="s">
        <v>99</v>
      </c>
      <c r="E201" s="139" t="s">
        <v>510</v>
      </c>
      <c r="F201" s="82" t="s">
        <v>211</v>
      </c>
      <c r="G201" s="98" t="s">
        <v>212</v>
      </c>
      <c r="H201" s="39">
        <f>58435.7+42689.4</f>
        <v>101125.1</v>
      </c>
      <c r="I201" s="1">
        <v>59199.5</v>
      </c>
      <c r="J201" s="1">
        <v>61567.5</v>
      </c>
    </row>
    <row r="202" spans="1:10" ht="25.5" x14ac:dyDescent="0.2">
      <c r="A202" s="1"/>
      <c r="B202" s="25"/>
      <c r="C202" s="16" t="s">
        <v>94</v>
      </c>
      <c r="D202" s="16" t="s">
        <v>99</v>
      </c>
      <c r="E202" s="74">
        <v>910123425</v>
      </c>
      <c r="F202" s="82"/>
      <c r="G202" s="98" t="s">
        <v>373</v>
      </c>
      <c r="H202" s="39">
        <f>H203</f>
        <v>10160.299999999999</v>
      </c>
      <c r="I202" s="39">
        <f>I203</f>
        <v>0</v>
      </c>
      <c r="J202" s="39">
        <f>J203</f>
        <v>0</v>
      </c>
    </row>
    <row r="203" spans="1:10" ht="38.25" x14ac:dyDescent="0.2">
      <c r="A203" s="1"/>
      <c r="B203" s="25"/>
      <c r="C203" s="16" t="s">
        <v>94</v>
      </c>
      <c r="D203" s="16" t="s">
        <v>99</v>
      </c>
      <c r="E203" s="74">
        <v>910123425</v>
      </c>
      <c r="F203" s="82" t="s">
        <v>211</v>
      </c>
      <c r="G203" s="98" t="s">
        <v>212</v>
      </c>
      <c r="H203" s="39">
        <f>2448.7+5498.9+3253.7-1041</f>
        <v>10160.299999999999</v>
      </c>
      <c r="I203" s="39">
        <v>0</v>
      </c>
      <c r="J203" s="39">
        <v>0</v>
      </c>
    </row>
    <row r="204" spans="1:10" x14ac:dyDescent="0.2">
      <c r="A204" s="1"/>
      <c r="B204" s="25"/>
      <c r="C204" s="16" t="s">
        <v>94</v>
      </c>
      <c r="D204" s="16" t="s">
        <v>99</v>
      </c>
      <c r="E204" s="74">
        <v>910123430</v>
      </c>
      <c r="F204" s="82"/>
      <c r="G204" s="98" t="s">
        <v>725</v>
      </c>
      <c r="H204" s="39">
        <f>H205</f>
        <v>3467.9</v>
      </c>
      <c r="I204" s="39">
        <f>I205</f>
        <v>0</v>
      </c>
      <c r="J204" s="39">
        <f>J205</f>
        <v>0</v>
      </c>
    </row>
    <row r="205" spans="1:10" ht="38.25" x14ac:dyDescent="0.2">
      <c r="A205" s="1"/>
      <c r="B205" s="25"/>
      <c r="C205" s="16" t="s">
        <v>94</v>
      </c>
      <c r="D205" s="16" t="s">
        <v>99</v>
      </c>
      <c r="E205" s="74">
        <v>910123430</v>
      </c>
      <c r="F205" s="82" t="s">
        <v>211</v>
      </c>
      <c r="G205" s="98" t="s">
        <v>212</v>
      </c>
      <c r="H205" s="39">
        <f>667.9+2800</f>
        <v>3467.9</v>
      </c>
      <c r="I205" s="39">
        <v>0</v>
      </c>
      <c r="J205" s="39">
        <v>0</v>
      </c>
    </row>
    <row r="206" spans="1:10" ht="90" customHeight="1" x14ac:dyDescent="0.2">
      <c r="A206" s="1"/>
      <c r="B206" s="25"/>
      <c r="C206" s="73" t="s">
        <v>94</v>
      </c>
      <c r="D206" s="73" t="s">
        <v>99</v>
      </c>
      <c r="E206" s="73" t="s">
        <v>227</v>
      </c>
      <c r="F206" s="16"/>
      <c r="G206" s="64" t="s">
        <v>588</v>
      </c>
      <c r="H206" s="96">
        <f>H207</f>
        <v>4945.8999999999996</v>
      </c>
      <c r="I206" s="96">
        <f t="shared" ref="I206:J206" si="61">I207</f>
        <v>6884.9</v>
      </c>
      <c r="J206" s="96">
        <f t="shared" si="61"/>
        <v>4697.2</v>
      </c>
    </row>
    <row r="207" spans="1:10" ht="51" x14ac:dyDescent="0.2">
      <c r="A207" s="1"/>
      <c r="B207" s="25"/>
      <c r="C207" s="52" t="s">
        <v>94</v>
      </c>
      <c r="D207" s="52" t="s">
        <v>99</v>
      </c>
      <c r="E207" s="52" t="s">
        <v>228</v>
      </c>
      <c r="F207" s="47"/>
      <c r="G207" s="48" t="s">
        <v>229</v>
      </c>
      <c r="H207" s="96">
        <f>H208+H217</f>
        <v>4945.8999999999996</v>
      </c>
      <c r="I207" s="96">
        <f>I208+I217</f>
        <v>6884.9</v>
      </c>
      <c r="J207" s="96">
        <f>J208+J217</f>
        <v>4697.2</v>
      </c>
    </row>
    <row r="208" spans="1:10" ht="51" x14ac:dyDescent="0.2">
      <c r="A208" s="1"/>
      <c r="B208" s="25"/>
      <c r="C208" s="21" t="s">
        <v>94</v>
      </c>
      <c r="D208" s="21" t="s">
        <v>99</v>
      </c>
      <c r="E208" s="21" t="s">
        <v>230</v>
      </c>
      <c r="F208" s="82"/>
      <c r="G208" s="98" t="s">
        <v>231</v>
      </c>
      <c r="H208" s="41">
        <f>H209+H211+H213+H215</f>
        <v>1000</v>
      </c>
      <c r="I208" s="41">
        <f t="shared" ref="I208:J208" si="62">I209+I211+I213+I215</f>
        <v>2781.2</v>
      </c>
      <c r="J208" s="41">
        <f t="shared" si="62"/>
        <v>429.4</v>
      </c>
    </row>
    <row r="209" spans="1:10" ht="38.25" x14ac:dyDescent="0.2">
      <c r="A209" s="1"/>
      <c r="B209" s="25"/>
      <c r="C209" s="21" t="s">
        <v>94</v>
      </c>
      <c r="D209" s="21" t="s">
        <v>99</v>
      </c>
      <c r="E209" s="21" t="s">
        <v>530</v>
      </c>
      <c r="F209" s="82"/>
      <c r="G209" s="98" t="s">
        <v>339</v>
      </c>
      <c r="H209" s="41">
        <f>H210</f>
        <v>0</v>
      </c>
      <c r="I209" s="41">
        <f>I210</f>
        <v>2381.1999999999998</v>
      </c>
      <c r="J209" s="41">
        <f>J210</f>
        <v>0</v>
      </c>
    </row>
    <row r="210" spans="1:10" ht="38.25" x14ac:dyDescent="0.2">
      <c r="A210" s="1"/>
      <c r="B210" s="25"/>
      <c r="C210" s="21" t="s">
        <v>94</v>
      </c>
      <c r="D210" s="21" t="s">
        <v>99</v>
      </c>
      <c r="E210" s="21" t="s">
        <v>530</v>
      </c>
      <c r="F210" s="82" t="s">
        <v>211</v>
      </c>
      <c r="G210" s="98" t="s">
        <v>212</v>
      </c>
      <c r="H210" s="41">
        <v>0</v>
      </c>
      <c r="I210" s="41">
        <v>2381.1999999999998</v>
      </c>
      <c r="J210" s="41">
        <v>0</v>
      </c>
    </row>
    <row r="211" spans="1:10" ht="25.5" x14ac:dyDescent="0.2">
      <c r="A211" s="1"/>
      <c r="B211" s="25"/>
      <c r="C211" s="21" t="s">
        <v>94</v>
      </c>
      <c r="D211" s="21" t="s">
        <v>99</v>
      </c>
      <c r="E211" s="21" t="s">
        <v>688</v>
      </c>
      <c r="F211" s="82"/>
      <c r="G211" s="98" t="s">
        <v>689</v>
      </c>
      <c r="H211" s="41">
        <f>H212</f>
        <v>0</v>
      </c>
      <c r="I211" s="41">
        <f t="shared" ref="I211:J211" si="63">I212</f>
        <v>0</v>
      </c>
      <c r="J211" s="41">
        <f t="shared" si="63"/>
        <v>429.4</v>
      </c>
    </row>
    <row r="212" spans="1:10" ht="38.25" x14ac:dyDescent="0.2">
      <c r="A212" s="1"/>
      <c r="B212" s="25"/>
      <c r="C212" s="21" t="s">
        <v>94</v>
      </c>
      <c r="D212" s="21" t="s">
        <v>99</v>
      </c>
      <c r="E212" s="21" t="s">
        <v>688</v>
      </c>
      <c r="F212" s="82" t="s">
        <v>211</v>
      </c>
      <c r="G212" s="98" t="s">
        <v>212</v>
      </c>
      <c r="H212" s="41">
        <v>0</v>
      </c>
      <c r="I212" s="41">
        <v>0</v>
      </c>
      <c r="J212" s="41">
        <v>429.4</v>
      </c>
    </row>
    <row r="213" spans="1:10" ht="25.5" x14ac:dyDescent="0.2">
      <c r="A213" s="1"/>
      <c r="B213" s="25"/>
      <c r="C213" s="21" t="s">
        <v>94</v>
      </c>
      <c r="D213" s="21" t="s">
        <v>99</v>
      </c>
      <c r="E213" s="21" t="s">
        <v>531</v>
      </c>
      <c r="F213" s="16"/>
      <c r="G213" s="98" t="s">
        <v>329</v>
      </c>
      <c r="H213" s="41">
        <f>H214</f>
        <v>400</v>
      </c>
      <c r="I213" s="41">
        <f>I214</f>
        <v>400</v>
      </c>
      <c r="J213" s="41">
        <f>J214</f>
        <v>0</v>
      </c>
    </row>
    <row r="214" spans="1:10" ht="38.25" x14ac:dyDescent="0.2">
      <c r="A214" s="1"/>
      <c r="B214" s="25"/>
      <c r="C214" s="21" t="s">
        <v>94</v>
      </c>
      <c r="D214" s="21" t="s">
        <v>99</v>
      </c>
      <c r="E214" s="21" t="s">
        <v>531</v>
      </c>
      <c r="F214" s="82" t="s">
        <v>211</v>
      </c>
      <c r="G214" s="98" t="s">
        <v>212</v>
      </c>
      <c r="H214" s="41">
        <v>400</v>
      </c>
      <c r="I214" s="41">
        <v>400</v>
      </c>
      <c r="J214" s="41">
        <v>0</v>
      </c>
    </row>
    <row r="215" spans="1:10" x14ac:dyDescent="0.2">
      <c r="A215" s="1"/>
      <c r="B215" s="25"/>
      <c r="C215" s="21" t="s">
        <v>94</v>
      </c>
      <c r="D215" s="21" t="s">
        <v>99</v>
      </c>
      <c r="E215" s="21" t="s">
        <v>630</v>
      </c>
      <c r="F215" s="82"/>
      <c r="G215" s="98" t="s">
        <v>598</v>
      </c>
      <c r="H215" s="41">
        <f>H216</f>
        <v>600</v>
      </c>
      <c r="I215" s="41">
        <f t="shared" ref="I215:J215" si="64">I216</f>
        <v>0</v>
      </c>
      <c r="J215" s="41">
        <f t="shared" si="64"/>
        <v>0</v>
      </c>
    </row>
    <row r="216" spans="1:10" ht="38.25" x14ac:dyDescent="0.2">
      <c r="A216" s="1"/>
      <c r="B216" s="25"/>
      <c r="C216" s="21" t="s">
        <v>94</v>
      </c>
      <c r="D216" s="21" t="s">
        <v>99</v>
      </c>
      <c r="E216" s="21" t="s">
        <v>630</v>
      </c>
      <c r="F216" s="82" t="s">
        <v>211</v>
      </c>
      <c r="G216" s="98" t="s">
        <v>212</v>
      </c>
      <c r="H216" s="41">
        <v>600</v>
      </c>
      <c r="I216" s="41">
        <v>0</v>
      </c>
      <c r="J216" s="41">
        <v>0</v>
      </c>
    </row>
    <row r="217" spans="1:10" ht="63.75" x14ac:dyDescent="0.2">
      <c r="A217" s="1"/>
      <c r="B217" s="25"/>
      <c r="C217" s="21" t="s">
        <v>94</v>
      </c>
      <c r="D217" s="21" t="s">
        <v>99</v>
      </c>
      <c r="E217" s="51" t="s">
        <v>528</v>
      </c>
      <c r="F217" s="82"/>
      <c r="G217" s="98" t="s">
        <v>529</v>
      </c>
      <c r="H217" s="41">
        <f>H218+H220</f>
        <v>3945.9</v>
      </c>
      <c r="I217" s="41">
        <f t="shared" ref="I217:J217" si="65">I218+I220</f>
        <v>4103.7</v>
      </c>
      <c r="J217" s="41">
        <f t="shared" si="65"/>
        <v>4267.8</v>
      </c>
    </row>
    <row r="218" spans="1:10" ht="42" customHeight="1" x14ac:dyDescent="0.2">
      <c r="A218" s="1"/>
      <c r="B218" s="25"/>
      <c r="C218" s="21" t="s">
        <v>94</v>
      </c>
      <c r="D218" s="21" t="s">
        <v>99</v>
      </c>
      <c r="E218" s="51" t="s">
        <v>353</v>
      </c>
      <c r="F218" s="82"/>
      <c r="G218" s="98" t="s">
        <v>350</v>
      </c>
      <c r="H218" s="41">
        <f>H219</f>
        <v>394.6</v>
      </c>
      <c r="I218" s="41">
        <f>I219</f>
        <v>410.4</v>
      </c>
      <c r="J218" s="41">
        <f>J219</f>
        <v>426.8</v>
      </c>
    </row>
    <row r="219" spans="1:10" ht="38.25" x14ac:dyDescent="0.2">
      <c r="A219" s="1"/>
      <c r="B219" s="25"/>
      <c r="C219" s="21" t="s">
        <v>94</v>
      </c>
      <c r="D219" s="21" t="s">
        <v>99</v>
      </c>
      <c r="E219" s="51" t="s">
        <v>353</v>
      </c>
      <c r="F219" s="82" t="s">
        <v>211</v>
      </c>
      <c r="G219" s="98" t="s">
        <v>212</v>
      </c>
      <c r="H219" s="39">
        <v>394.6</v>
      </c>
      <c r="I219" s="39">
        <v>410.4</v>
      </c>
      <c r="J219" s="39">
        <v>426.8</v>
      </c>
    </row>
    <row r="220" spans="1:10" ht="54.75" customHeight="1" x14ac:dyDescent="0.2">
      <c r="A220" s="1"/>
      <c r="B220" s="25"/>
      <c r="C220" s="21" t="s">
        <v>94</v>
      </c>
      <c r="D220" s="21" t="s">
        <v>99</v>
      </c>
      <c r="E220" s="51" t="s">
        <v>354</v>
      </c>
      <c r="F220" s="82"/>
      <c r="G220" s="98" t="s">
        <v>348</v>
      </c>
      <c r="H220" s="41">
        <f>H221</f>
        <v>3551.3</v>
      </c>
      <c r="I220" s="41">
        <f>I221</f>
        <v>3693.3</v>
      </c>
      <c r="J220" s="41">
        <f>J221</f>
        <v>3841</v>
      </c>
    </row>
    <row r="221" spans="1:10" ht="38.25" x14ac:dyDescent="0.2">
      <c r="A221" s="1"/>
      <c r="B221" s="25"/>
      <c r="C221" s="21" t="s">
        <v>94</v>
      </c>
      <c r="D221" s="21" t="s">
        <v>99</v>
      </c>
      <c r="E221" s="51" t="s">
        <v>354</v>
      </c>
      <c r="F221" s="82" t="s">
        <v>211</v>
      </c>
      <c r="G221" s="98" t="s">
        <v>212</v>
      </c>
      <c r="H221" s="41">
        <v>3551.3</v>
      </c>
      <c r="I221" s="41">
        <v>3693.3</v>
      </c>
      <c r="J221" s="41">
        <v>3841</v>
      </c>
    </row>
    <row r="222" spans="1:10" ht="25.5" x14ac:dyDescent="0.2">
      <c r="A222" s="1"/>
      <c r="B222" s="25"/>
      <c r="C222" s="30" t="s">
        <v>94</v>
      </c>
      <c r="D222" s="30" t="s">
        <v>122</v>
      </c>
      <c r="E222" s="30"/>
      <c r="F222" s="30"/>
      <c r="G222" s="46" t="s">
        <v>4</v>
      </c>
      <c r="H222" s="40">
        <f>H223+H231+H251</f>
        <v>2692</v>
      </c>
      <c r="I222" s="40">
        <f>I223+I231+I251</f>
        <v>1406.2</v>
      </c>
      <c r="J222" s="40">
        <f>J223+J231+J251</f>
        <v>1406.2</v>
      </c>
    </row>
    <row r="223" spans="1:10" ht="89.25" x14ac:dyDescent="0.2">
      <c r="A223" s="1"/>
      <c r="B223" s="25"/>
      <c r="C223" s="16" t="s">
        <v>94</v>
      </c>
      <c r="D223" s="16" t="s">
        <v>122</v>
      </c>
      <c r="E223" s="73" t="s">
        <v>69</v>
      </c>
      <c r="F223" s="16"/>
      <c r="G223" s="142" t="s">
        <v>576</v>
      </c>
      <c r="H223" s="96">
        <f t="shared" ref="H223:J223" si="66">H224</f>
        <v>186</v>
      </c>
      <c r="I223" s="96">
        <f t="shared" si="66"/>
        <v>176.2</v>
      </c>
      <c r="J223" s="96">
        <f t="shared" si="66"/>
        <v>176.2</v>
      </c>
    </row>
    <row r="224" spans="1:10" ht="38.25" x14ac:dyDescent="0.2">
      <c r="A224" s="1"/>
      <c r="B224" s="25"/>
      <c r="C224" s="16" t="s">
        <v>94</v>
      </c>
      <c r="D224" s="16" t="s">
        <v>122</v>
      </c>
      <c r="E224" s="52" t="s">
        <v>163</v>
      </c>
      <c r="F224" s="16"/>
      <c r="G224" s="48" t="s">
        <v>162</v>
      </c>
      <c r="H224" s="93">
        <f>H225+H228</f>
        <v>186</v>
      </c>
      <c r="I224" s="93">
        <f t="shared" ref="I224:J224" si="67">I225+I228</f>
        <v>176.2</v>
      </c>
      <c r="J224" s="93">
        <f t="shared" si="67"/>
        <v>176.2</v>
      </c>
    </row>
    <row r="225" spans="1:10" ht="76.5" x14ac:dyDescent="0.2">
      <c r="A225" s="1"/>
      <c r="B225" s="25"/>
      <c r="C225" s="16" t="s">
        <v>94</v>
      </c>
      <c r="D225" s="16" t="s">
        <v>122</v>
      </c>
      <c r="E225" s="21" t="s">
        <v>246</v>
      </c>
      <c r="F225" s="16"/>
      <c r="G225" s="99" t="s">
        <v>309</v>
      </c>
      <c r="H225" s="41">
        <f t="shared" ref="H225:J226" si="68">H226</f>
        <v>150</v>
      </c>
      <c r="I225" s="41">
        <f t="shared" si="68"/>
        <v>140.19999999999999</v>
      </c>
      <c r="J225" s="41">
        <f t="shared" si="68"/>
        <v>140.19999999999999</v>
      </c>
    </row>
    <row r="226" spans="1:10" ht="51" x14ac:dyDescent="0.2">
      <c r="A226" s="1"/>
      <c r="B226" s="25"/>
      <c r="C226" s="16" t="s">
        <v>94</v>
      </c>
      <c r="D226" s="16" t="s">
        <v>122</v>
      </c>
      <c r="E226" s="21" t="s">
        <v>460</v>
      </c>
      <c r="F226" s="30"/>
      <c r="G226" s="97" t="s">
        <v>164</v>
      </c>
      <c r="H226" s="41">
        <f t="shared" si="68"/>
        <v>150</v>
      </c>
      <c r="I226" s="41">
        <f t="shared" si="68"/>
        <v>140.19999999999999</v>
      </c>
      <c r="J226" s="41">
        <f t="shared" si="68"/>
        <v>140.19999999999999</v>
      </c>
    </row>
    <row r="227" spans="1:10" ht="38.25" x14ac:dyDescent="0.2">
      <c r="A227" s="1"/>
      <c r="B227" s="25"/>
      <c r="C227" s="16" t="s">
        <v>94</v>
      </c>
      <c r="D227" s="16" t="s">
        <v>122</v>
      </c>
      <c r="E227" s="21" t="s">
        <v>460</v>
      </c>
      <c r="F227" s="82" t="s">
        <v>211</v>
      </c>
      <c r="G227" s="98" t="s">
        <v>212</v>
      </c>
      <c r="H227" s="39">
        <v>150</v>
      </c>
      <c r="I227" s="39">
        <v>140.19999999999999</v>
      </c>
      <c r="J227" s="39">
        <v>140.19999999999999</v>
      </c>
    </row>
    <row r="228" spans="1:10" ht="25.5" x14ac:dyDescent="0.2">
      <c r="A228" s="1"/>
      <c r="B228" s="25"/>
      <c r="C228" s="16" t="s">
        <v>94</v>
      </c>
      <c r="D228" s="16" t="s">
        <v>122</v>
      </c>
      <c r="E228" s="21" t="s">
        <v>340</v>
      </c>
      <c r="F228" s="82"/>
      <c r="G228" s="99" t="s">
        <v>336</v>
      </c>
      <c r="H228" s="41">
        <f>H229</f>
        <v>36</v>
      </c>
      <c r="I228" s="41">
        <f t="shared" ref="I228:J228" si="69">I229</f>
        <v>36</v>
      </c>
      <c r="J228" s="41">
        <f t="shared" si="69"/>
        <v>36</v>
      </c>
    </row>
    <row r="229" spans="1:10" ht="38.25" x14ac:dyDescent="0.2">
      <c r="A229" s="1"/>
      <c r="B229" s="25"/>
      <c r="C229" s="16" t="s">
        <v>94</v>
      </c>
      <c r="D229" s="16" t="s">
        <v>122</v>
      </c>
      <c r="E229" s="82" t="s">
        <v>461</v>
      </c>
      <c r="F229" s="30"/>
      <c r="G229" s="97" t="s">
        <v>167</v>
      </c>
      <c r="H229" s="41">
        <f>H230</f>
        <v>36</v>
      </c>
      <c r="I229" s="41">
        <f t="shared" ref="I229:J229" si="70">I230</f>
        <v>36</v>
      </c>
      <c r="J229" s="41">
        <f t="shared" si="70"/>
        <v>36</v>
      </c>
    </row>
    <row r="230" spans="1:10" ht="38.25" x14ac:dyDescent="0.2">
      <c r="A230" s="1"/>
      <c r="B230" s="25"/>
      <c r="C230" s="16" t="s">
        <v>94</v>
      </c>
      <c r="D230" s="16" t="s">
        <v>122</v>
      </c>
      <c r="E230" s="82" t="s">
        <v>461</v>
      </c>
      <c r="F230" s="82" t="s">
        <v>211</v>
      </c>
      <c r="G230" s="98" t="s">
        <v>212</v>
      </c>
      <c r="H230" s="41">
        <v>36</v>
      </c>
      <c r="I230" s="41">
        <v>36</v>
      </c>
      <c r="J230" s="41">
        <v>36</v>
      </c>
    </row>
    <row r="231" spans="1:10" ht="89.25" x14ac:dyDescent="0.2">
      <c r="A231" s="1"/>
      <c r="B231" s="25"/>
      <c r="C231" s="5" t="s">
        <v>94</v>
      </c>
      <c r="D231" s="5" t="s">
        <v>122</v>
      </c>
      <c r="E231" s="76">
        <v>400000000</v>
      </c>
      <c r="F231" s="16"/>
      <c r="G231" s="141" t="s">
        <v>575</v>
      </c>
      <c r="H231" s="96">
        <f t="shared" ref="H231:J231" si="71">H232</f>
        <v>2266</v>
      </c>
      <c r="I231" s="96">
        <f t="shared" si="71"/>
        <v>930</v>
      </c>
      <c r="J231" s="96">
        <f t="shared" si="71"/>
        <v>930</v>
      </c>
    </row>
    <row r="232" spans="1:10" ht="52.5" customHeight="1" x14ac:dyDescent="0.2">
      <c r="A232" s="1"/>
      <c r="B232" s="25"/>
      <c r="C232" s="47" t="s">
        <v>94</v>
      </c>
      <c r="D232" s="47" t="s">
        <v>122</v>
      </c>
      <c r="E232" s="75">
        <v>410000000</v>
      </c>
      <c r="F232" s="30"/>
      <c r="G232" s="46" t="s">
        <v>462</v>
      </c>
      <c r="H232" s="93">
        <f>H233+H240</f>
        <v>2266</v>
      </c>
      <c r="I232" s="93">
        <f>I233+I240</f>
        <v>930</v>
      </c>
      <c r="J232" s="93">
        <f>J233+J240</f>
        <v>930</v>
      </c>
    </row>
    <row r="233" spans="1:10" ht="51" x14ac:dyDescent="0.2">
      <c r="A233" s="1"/>
      <c r="B233" s="25"/>
      <c r="C233" s="16" t="s">
        <v>94</v>
      </c>
      <c r="D233" s="16" t="s">
        <v>122</v>
      </c>
      <c r="E233" s="74">
        <v>410200000</v>
      </c>
      <c r="F233" s="30"/>
      <c r="G233" s="97" t="s">
        <v>467</v>
      </c>
      <c r="H233" s="39">
        <f>H234+H236+H238</f>
        <v>130</v>
      </c>
      <c r="I233" s="39">
        <f t="shared" ref="I233:J233" si="72">I234+I236+I238</f>
        <v>130</v>
      </c>
      <c r="J233" s="39">
        <f t="shared" si="72"/>
        <v>130</v>
      </c>
    </row>
    <row r="234" spans="1:10" ht="76.5" x14ac:dyDescent="0.2">
      <c r="A234" s="1"/>
      <c r="B234" s="25"/>
      <c r="C234" s="16" t="s">
        <v>94</v>
      </c>
      <c r="D234" s="16" t="s">
        <v>122</v>
      </c>
      <c r="E234" s="135" t="s">
        <v>624</v>
      </c>
      <c r="F234" s="82"/>
      <c r="G234" s="98" t="s">
        <v>592</v>
      </c>
      <c r="H234" s="39">
        <f t="shared" ref="H234:J234" si="73">H235</f>
        <v>50</v>
      </c>
      <c r="I234" s="39">
        <f t="shared" si="73"/>
        <v>50</v>
      </c>
      <c r="J234" s="39">
        <f t="shared" si="73"/>
        <v>50</v>
      </c>
    </row>
    <row r="235" spans="1:10" ht="38.25" x14ac:dyDescent="0.2">
      <c r="A235" s="1"/>
      <c r="B235" s="25"/>
      <c r="C235" s="16" t="s">
        <v>94</v>
      </c>
      <c r="D235" s="16" t="s">
        <v>122</v>
      </c>
      <c r="E235" s="135" t="s">
        <v>624</v>
      </c>
      <c r="F235" s="82" t="s">
        <v>211</v>
      </c>
      <c r="G235" s="98" t="s">
        <v>212</v>
      </c>
      <c r="H235" s="39">
        <v>50</v>
      </c>
      <c r="I235" s="39">
        <v>50</v>
      </c>
      <c r="J235" s="39">
        <v>50</v>
      </c>
    </row>
    <row r="236" spans="1:10" ht="25.5" x14ac:dyDescent="0.2">
      <c r="A236" s="1"/>
      <c r="B236" s="25"/>
      <c r="C236" s="16" t="s">
        <v>94</v>
      </c>
      <c r="D236" s="16" t="s">
        <v>122</v>
      </c>
      <c r="E236" s="135" t="s">
        <v>623</v>
      </c>
      <c r="F236" s="82"/>
      <c r="G236" s="98" t="s">
        <v>465</v>
      </c>
      <c r="H236" s="39">
        <f>H237</f>
        <v>30</v>
      </c>
      <c r="I236" s="39">
        <f>I237</f>
        <v>30</v>
      </c>
      <c r="J236" s="39">
        <f>J237</f>
        <v>30</v>
      </c>
    </row>
    <row r="237" spans="1:10" ht="38.25" x14ac:dyDescent="0.2">
      <c r="A237" s="1"/>
      <c r="B237" s="25"/>
      <c r="C237" s="16" t="s">
        <v>94</v>
      </c>
      <c r="D237" s="16" t="s">
        <v>122</v>
      </c>
      <c r="E237" s="135" t="s">
        <v>623</v>
      </c>
      <c r="F237" s="82" t="s">
        <v>211</v>
      </c>
      <c r="G237" s="98" t="s">
        <v>212</v>
      </c>
      <c r="H237" s="39">
        <v>30</v>
      </c>
      <c r="I237" s="39">
        <v>30</v>
      </c>
      <c r="J237" s="39">
        <v>30</v>
      </c>
    </row>
    <row r="238" spans="1:10" ht="38.25" x14ac:dyDescent="0.2">
      <c r="A238" s="1"/>
      <c r="B238" s="25"/>
      <c r="C238" s="16" t="s">
        <v>94</v>
      </c>
      <c r="D238" s="16" t="s">
        <v>122</v>
      </c>
      <c r="E238" s="135" t="s">
        <v>622</v>
      </c>
      <c r="F238" s="82"/>
      <c r="G238" s="98" t="s">
        <v>593</v>
      </c>
      <c r="H238" s="39">
        <f>H239</f>
        <v>50</v>
      </c>
      <c r="I238" s="39">
        <f t="shared" ref="I238:J238" si="74">I239</f>
        <v>50</v>
      </c>
      <c r="J238" s="39">
        <f t="shared" si="74"/>
        <v>50</v>
      </c>
    </row>
    <row r="239" spans="1:10" ht="38.25" x14ac:dyDescent="0.2">
      <c r="A239" s="1"/>
      <c r="B239" s="25"/>
      <c r="C239" s="16" t="s">
        <v>94</v>
      </c>
      <c r="D239" s="16" t="s">
        <v>122</v>
      </c>
      <c r="E239" s="135" t="s">
        <v>622</v>
      </c>
      <c r="F239" s="82" t="s">
        <v>211</v>
      </c>
      <c r="G239" s="98" t="s">
        <v>212</v>
      </c>
      <c r="H239" s="39">
        <v>50</v>
      </c>
      <c r="I239" s="39">
        <v>50</v>
      </c>
      <c r="J239" s="39">
        <v>50</v>
      </c>
    </row>
    <row r="240" spans="1:10" ht="51" x14ac:dyDescent="0.2">
      <c r="A240" s="1"/>
      <c r="B240" s="25"/>
      <c r="C240" s="16" t="s">
        <v>94</v>
      </c>
      <c r="D240" s="16" t="s">
        <v>122</v>
      </c>
      <c r="E240" s="135" t="s">
        <v>469</v>
      </c>
      <c r="F240" s="82"/>
      <c r="G240" s="97" t="s">
        <v>468</v>
      </c>
      <c r="H240" s="39">
        <f>H241+H243+H245+H247+H249</f>
        <v>2136</v>
      </c>
      <c r="I240" s="39">
        <f t="shared" ref="I240:J240" si="75">I241+I243+I245+I247+I249</f>
        <v>800</v>
      </c>
      <c r="J240" s="39">
        <f t="shared" si="75"/>
        <v>800</v>
      </c>
    </row>
    <row r="241" spans="1:10" ht="63.75" x14ac:dyDescent="0.2">
      <c r="A241" s="1"/>
      <c r="B241" s="25"/>
      <c r="C241" s="16" t="s">
        <v>94</v>
      </c>
      <c r="D241" s="16" t="s">
        <v>122</v>
      </c>
      <c r="E241" s="135" t="s">
        <v>625</v>
      </c>
      <c r="F241" s="82"/>
      <c r="G241" s="98" t="s">
        <v>594</v>
      </c>
      <c r="H241" s="39">
        <f>H242</f>
        <v>200</v>
      </c>
      <c r="I241" s="39">
        <f t="shared" ref="I241:J241" si="76">I242</f>
        <v>200</v>
      </c>
      <c r="J241" s="39">
        <f t="shared" si="76"/>
        <v>200</v>
      </c>
    </row>
    <row r="242" spans="1:10" ht="63.75" x14ac:dyDescent="0.2">
      <c r="A242" s="1"/>
      <c r="B242" s="25"/>
      <c r="C242" s="16" t="s">
        <v>94</v>
      </c>
      <c r="D242" s="16" t="s">
        <v>122</v>
      </c>
      <c r="E242" s="135" t="s">
        <v>625</v>
      </c>
      <c r="F242" s="16" t="s">
        <v>12</v>
      </c>
      <c r="G242" s="98" t="s">
        <v>365</v>
      </c>
      <c r="H242" s="39">
        <v>200</v>
      </c>
      <c r="I242" s="39">
        <v>200</v>
      </c>
      <c r="J242" s="39">
        <v>200</v>
      </c>
    </row>
    <row r="243" spans="1:10" ht="63.75" x14ac:dyDescent="0.2">
      <c r="A243" s="1"/>
      <c r="B243" s="25"/>
      <c r="C243" s="16" t="s">
        <v>94</v>
      </c>
      <c r="D243" s="16" t="s">
        <v>122</v>
      </c>
      <c r="E243" s="135" t="s">
        <v>626</v>
      </c>
      <c r="F243" s="82"/>
      <c r="G243" s="98" t="s">
        <v>470</v>
      </c>
      <c r="H243" s="39">
        <f>H244</f>
        <v>500</v>
      </c>
      <c r="I243" s="39">
        <f t="shared" ref="I243:J243" si="77">I244</f>
        <v>500</v>
      </c>
      <c r="J243" s="39">
        <f t="shared" si="77"/>
        <v>500</v>
      </c>
    </row>
    <row r="244" spans="1:10" ht="63.75" x14ac:dyDescent="0.2">
      <c r="A244" s="1"/>
      <c r="B244" s="25"/>
      <c r="C244" s="16" t="s">
        <v>94</v>
      </c>
      <c r="D244" s="16" t="s">
        <v>122</v>
      </c>
      <c r="E244" s="135" t="s">
        <v>626</v>
      </c>
      <c r="F244" s="16" t="s">
        <v>12</v>
      </c>
      <c r="G244" s="98" t="s">
        <v>365</v>
      </c>
      <c r="H244" s="39">
        <v>500</v>
      </c>
      <c r="I244" s="39">
        <v>500</v>
      </c>
      <c r="J244" s="39">
        <v>500</v>
      </c>
    </row>
    <row r="245" spans="1:10" ht="104.25" customHeight="1" x14ac:dyDescent="0.2">
      <c r="A245" s="1"/>
      <c r="B245" s="25"/>
      <c r="C245" s="16" t="s">
        <v>94</v>
      </c>
      <c r="D245" s="16" t="s">
        <v>122</v>
      </c>
      <c r="E245" s="135" t="s">
        <v>627</v>
      </c>
      <c r="F245" s="82"/>
      <c r="G245" s="98" t="s">
        <v>471</v>
      </c>
      <c r="H245" s="39">
        <f>H246</f>
        <v>80</v>
      </c>
      <c r="I245" s="39">
        <f t="shared" ref="I245:J245" si="78">I246</f>
        <v>100</v>
      </c>
      <c r="J245" s="39">
        <f t="shared" si="78"/>
        <v>100</v>
      </c>
    </row>
    <row r="246" spans="1:10" ht="63.75" x14ac:dyDescent="0.2">
      <c r="A246" s="1"/>
      <c r="B246" s="25"/>
      <c r="C246" s="16" t="s">
        <v>94</v>
      </c>
      <c r="D246" s="16" t="s">
        <v>122</v>
      </c>
      <c r="E246" s="135" t="s">
        <v>627</v>
      </c>
      <c r="F246" s="16" t="s">
        <v>12</v>
      </c>
      <c r="G246" s="98" t="s">
        <v>365</v>
      </c>
      <c r="H246" s="39">
        <v>80</v>
      </c>
      <c r="I246" s="39">
        <v>100</v>
      </c>
      <c r="J246" s="39">
        <v>100</v>
      </c>
    </row>
    <row r="247" spans="1:10" ht="95.25" customHeight="1" x14ac:dyDescent="0.2">
      <c r="A247" s="1"/>
      <c r="B247" s="25"/>
      <c r="C247" s="16" t="s">
        <v>94</v>
      </c>
      <c r="D247" s="16" t="s">
        <v>122</v>
      </c>
      <c r="E247" s="135" t="s">
        <v>628</v>
      </c>
      <c r="F247" s="16"/>
      <c r="G247" s="98" t="s">
        <v>595</v>
      </c>
      <c r="H247" s="39">
        <f>H248</f>
        <v>356</v>
      </c>
      <c r="I247" s="39">
        <f t="shared" ref="I247:J247" si="79">I248</f>
        <v>0</v>
      </c>
      <c r="J247" s="39">
        <f t="shared" si="79"/>
        <v>0</v>
      </c>
    </row>
    <row r="248" spans="1:10" ht="63.75" x14ac:dyDescent="0.2">
      <c r="A248" s="1"/>
      <c r="B248" s="25"/>
      <c r="C248" s="16" t="s">
        <v>94</v>
      </c>
      <c r="D248" s="16" t="s">
        <v>122</v>
      </c>
      <c r="E248" s="135" t="s">
        <v>628</v>
      </c>
      <c r="F248" s="16" t="s">
        <v>12</v>
      </c>
      <c r="G248" s="98" t="s">
        <v>365</v>
      </c>
      <c r="H248" s="39">
        <v>356</v>
      </c>
      <c r="I248" s="39">
        <v>0</v>
      </c>
      <c r="J248" s="39">
        <v>0</v>
      </c>
    </row>
    <row r="249" spans="1:10" ht="100.5" customHeight="1" x14ac:dyDescent="0.2">
      <c r="A249" s="1"/>
      <c r="B249" s="25"/>
      <c r="C249" s="16" t="s">
        <v>94</v>
      </c>
      <c r="D249" s="16" t="s">
        <v>122</v>
      </c>
      <c r="E249" s="135" t="s">
        <v>666</v>
      </c>
      <c r="F249" s="16"/>
      <c r="G249" s="98" t="s">
        <v>667</v>
      </c>
      <c r="H249" s="39">
        <f>H250</f>
        <v>1000</v>
      </c>
      <c r="I249" s="39">
        <f t="shared" ref="I249:J249" si="80">I250</f>
        <v>0</v>
      </c>
      <c r="J249" s="39">
        <f t="shared" si="80"/>
        <v>0</v>
      </c>
    </row>
    <row r="250" spans="1:10" ht="63.75" x14ac:dyDescent="0.2">
      <c r="A250" s="1"/>
      <c r="B250" s="25"/>
      <c r="C250" s="16" t="s">
        <v>94</v>
      </c>
      <c r="D250" s="16" t="s">
        <v>122</v>
      </c>
      <c r="E250" s="135" t="s">
        <v>666</v>
      </c>
      <c r="F250" s="16" t="s">
        <v>12</v>
      </c>
      <c r="G250" s="98" t="s">
        <v>365</v>
      </c>
      <c r="H250" s="39">
        <v>1000</v>
      </c>
      <c r="I250" s="39">
        <v>0</v>
      </c>
      <c r="J250" s="39">
        <v>0</v>
      </c>
    </row>
    <row r="251" spans="1:10" ht="76.5" x14ac:dyDescent="0.2">
      <c r="A251" s="1"/>
      <c r="B251" s="25"/>
      <c r="C251" s="5" t="s">
        <v>94</v>
      </c>
      <c r="D251" s="5" t="s">
        <v>122</v>
      </c>
      <c r="E251" s="73" t="s">
        <v>146</v>
      </c>
      <c r="F251" s="16"/>
      <c r="G251" s="63" t="s">
        <v>580</v>
      </c>
      <c r="H251" s="96">
        <f t="shared" ref="H251:J251" si="81">H252</f>
        <v>240</v>
      </c>
      <c r="I251" s="96">
        <f t="shared" si="81"/>
        <v>300</v>
      </c>
      <c r="J251" s="96">
        <f t="shared" si="81"/>
        <v>300</v>
      </c>
    </row>
    <row r="252" spans="1:10" ht="63.75" x14ac:dyDescent="0.2">
      <c r="A252" s="1"/>
      <c r="B252" s="25"/>
      <c r="C252" s="47" t="s">
        <v>94</v>
      </c>
      <c r="D252" s="47" t="s">
        <v>122</v>
      </c>
      <c r="E252" s="52" t="s">
        <v>147</v>
      </c>
      <c r="F252" s="16"/>
      <c r="G252" s="48" t="s">
        <v>505</v>
      </c>
      <c r="H252" s="93">
        <f>H253</f>
        <v>240</v>
      </c>
      <c r="I252" s="93">
        <f>I253</f>
        <v>300</v>
      </c>
      <c r="J252" s="93">
        <f>J253</f>
        <v>300</v>
      </c>
    </row>
    <row r="253" spans="1:10" ht="89.25" x14ac:dyDescent="0.2">
      <c r="A253" s="1"/>
      <c r="B253" s="25"/>
      <c r="C253" s="16" t="s">
        <v>94</v>
      </c>
      <c r="D253" s="16" t="s">
        <v>122</v>
      </c>
      <c r="E253" s="21" t="s">
        <v>210</v>
      </c>
      <c r="F253" s="16"/>
      <c r="G253" s="99" t="s">
        <v>506</v>
      </c>
      <c r="H253" s="39">
        <f>H254+H256+H258</f>
        <v>240</v>
      </c>
      <c r="I253" s="39">
        <f t="shared" ref="I253:J253" si="82">I254+I256+I258</f>
        <v>300</v>
      </c>
      <c r="J253" s="39">
        <f t="shared" si="82"/>
        <v>300</v>
      </c>
    </row>
    <row r="254" spans="1:10" ht="51" x14ac:dyDescent="0.2">
      <c r="A254" s="1"/>
      <c r="B254" s="25"/>
      <c r="C254" s="16" t="s">
        <v>94</v>
      </c>
      <c r="D254" s="16" t="s">
        <v>122</v>
      </c>
      <c r="E254" s="137" t="s">
        <v>507</v>
      </c>
      <c r="F254" s="16"/>
      <c r="G254" s="99" t="s">
        <v>544</v>
      </c>
      <c r="H254" s="39">
        <f>H255</f>
        <v>0</v>
      </c>
      <c r="I254" s="39">
        <f>I255</f>
        <v>300</v>
      </c>
      <c r="J254" s="39">
        <f>J255</f>
        <v>300</v>
      </c>
    </row>
    <row r="255" spans="1:10" ht="38.25" x14ac:dyDescent="0.2">
      <c r="A255" s="1"/>
      <c r="B255" s="25"/>
      <c r="C255" s="16" t="s">
        <v>94</v>
      </c>
      <c r="D255" s="16" t="s">
        <v>122</v>
      </c>
      <c r="E255" s="137" t="s">
        <v>507</v>
      </c>
      <c r="F255" s="82" t="s">
        <v>211</v>
      </c>
      <c r="G255" s="98" t="s">
        <v>212</v>
      </c>
      <c r="H255" s="39"/>
      <c r="I255" s="39">
        <v>300</v>
      </c>
      <c r="J255" s="39">
        <v>300</v>
      </c>
    </row>
    <row r="256" spans="1:10" ht="78" customHeight="1" x14ac:dyDescent="0.2">
      <c r="A256" s="1"/>
      <c r="B256" s="25"/>
      <c r="C256" s="16" t="s">
        <v>94</v>
      </c>
      <c r="D256" s="16" t="s">
        <v>122</v>
      </c>
      <c r="E256" s="74">
        <v>810123102</v>
      </c>
      <c r="F256" s="16"/>
      <c r="G256" s="99" t="s">
        <v>508</v>
      </c>
      <c r="H256" s="39">
        <f>H257</f>
        <v>120</v>
      </c>
      <c r="I256" s="39">
        <f>I257</f>
        <v>0</v>
      </c>
      <c r="J256" s="39">
        <f>J257</f>
        <v>0</v>
      </c>
    </row>
    <row r="257" spans="1:10" ht="38.25" x14ac:dyDescent="0.2">
      <c r="A257" s="1"/>
      <c r="B257" s="25"/>
      <c r="C257" s="16" t="s">
        <v>94</v>
      </c>
      <c r="D257" s="16" t="s">
        <v>122</v>
      </c>
      <c r="E257" s="74">
        <v>810123102</v>
      </c>
      <c r="F257" s="82" t="s">
        <v>211</v>
      </c>
      <c r="G257" s="98" t="s">
        <v>212</v>
      </c>
      <c r="H257" s="39">
        <f>100+20</f>
        <v>120</v>
      </c>
      <c r="I257" s="39">
        <v>0</v>
      </c>
      <c r="J257" s="39">
        <v>0</v>
      </c>
    </row>
    <row r="258" spans="1:10" ht="89.25" x14ac:dyDescent="0.2">
      <c r="A258" s="1"/>
      <c r="B258" s="25"/>
      <c r="C258" s="16" t="s">
        <v>94</v>
      </c>
      <c r="D258" s="16" t="s">
        <v>122</v>
      </c>
      <c r="E258" s="74">
        <v>810123103</v>
      </c>
      <c r="F258" s="82"/>
      <c r="G258" s="98" t="s">
        <v>663</v>
      </c>
      <c r="H258" s="39">
        <f>H259</f>
        <v>120</v>
      </c>
      <c r="I258" s="39">
        <f t="shared" ref="I258:J258" si="83">I259</f>
        <v>0</v>
      </c>
      <c r="J258" s="39">
        <f t="shared" si="83"/>
        <v>0</v>
      </c>
    </row>
    <row r="259" spans="1:10" ht="38.25" x14ac:dyDescent="0.2">
      <c r="A259" s="1"/>
      <c r="B259" s="25"/>
      <c r="C259" s="16" t="s">
        <v>94</v>
      </c>
      <c r="D259" s="16" t="s">
        <v>122</v>
      </c>
      <c r="E259" s="74">
        <v>810123103</v>
      </c>
      <c r="F259" s="82" t="s">
        <v>211</v>
      </c>
      <c r="G259" s="98" t="s">
        <v>212</v>
      </c>
      <c r="H259" s="39">
        <f>100+20</f>
        <v>120</v>
      </c>
      <c r="I259" s="39">
        <v>0</v>
      </c>
      <c r="J259" s="39">
        <v>0</v>
      </c>
    </row>
    <row r="260" spans="1:10" ht="30" x14ac:dyDescent="0.25">
      <c r="A260" s="1"/>
      <c r="B260" s="25"/>
      <c r="C260" s="4" t="s">
        <v>95</v>
      </c>
      <c r="D260" s="3"/>
      <c r="E260" s="3"/>
      <c r="F260" s="3"/>
      <c r="G260" s="49" t="s">
        <v>47</v>
      </c>
      <c r="H260" s="92">
        <f>H261+H293+H341+H420</f>
        <v>313200.60000000003</v>
      </c>
      <c r="I260" s="92">
        <f>I261+I293+I341+I420</f>
        <v>52075.799999999996</v>
      </c>
      <c r="J260" s="92">
        <f>J261+J293+J341+J420</f>
        <v>47947</v>
      </c>
    </row>
    <row r="261" spans="1:10" ht="14.25" x14ac:dyDescent="0.2">
      <c r="A261" s="1"/>
      <c r="B261" s="25"/>
      <c r="C261" s="30" t="s">
        <v>95</v>
      </c>
      <c r="D261" s="30" t="s">
        <v>88</v>
      </c>
      <c r="E261" s="30"/>
      <c r="F261" s="30"/>
      <c r="G261" s="27" t="s">
        <v>42</v>
      </c>
      <c r="H261" s="40">
        <f>H262</f>
        <v>4539.3</v>
      </c>
      <c r="I261" s="40">
        <f t="shared" ref="I261:J261" si="84">I262</f>
        <v>5761.3</v>
      </c>
      <c r="J261" s="40">
        <f t="shared" si="84"/>
        <v>2611.3000000000002</v>
      </c>
    </row>
    <row r="262" spans="1:10" ht="76.5" x14ac:dyDescent="0.2">
      <c r="A262" s="1"/>
      <c r="B262" s="25"/>
      <c r="C262" s="5" t="s">
        <v>95</v>
      </c>
      <c r="D262" s="5" t="s">
        <v>88</v>
      </c>
      <c r="E262" s="73" t="s">
        <v>154</v>
      </c>
      <c r="F262" s="16"/>
      <c r="G262" s="141" t="s">
        <v>574</v>
      </c>
      <c r="H262" s="96">
        <f>H263+H271+H286</f>
        <v>4539.3</v>
      </c>
      <c r="I262" s="96">
        <f>I263+I271+I286</f>
        <v>5761.3</v>
      </c>
      <c r="J262" s="96">
        <f>J263+J271+J286</f>
        <v>2611.3000000000002</v>
      </c>
    </row>
    <row r="263" spans="1:10" ht="38.25" x14ac:dyDescent="0.2">
      <c r="A263" s="1"/>
      <c r="B263" s="25"/>
      <c r="C263" s="47" t="s">
        <v>95</v>
      </c>
      <c r="D263" s="47" t="s">
        <v>88</v>
      </c>
      <c r="E263" s="52" t="s">
        <v>150</v>
      </c>
      <c r="F263" s="16"/>
      <c r="G263" s="48" t="s">
        <v>297</v>
      </c>
      <c r="H263" s="93">
        <f>H264+H268</f>
        <v>1347.3</v>
      </c>
      <c r="I263" s="93">
        <f>I264+I268</f>
        <v>950</v>
      </c>
      <c r="J263" s="93">
        <f>J264+J268</f>
        <v>950</v>
      </c>
    </row>
    <row r="264" spans="1:10" ht="38.25" x14ac:dyDescent="0.2">
      <c r="A264" s="1"/>
      <c r="B264" s="25"/>
      <c r="C264" s="82" t="s">
        <v>95</v>
      </c>
      <c r="D264" s="82" t="s">
        <v>88</v>
      </c>
      <c r="E264" s="21" t="s">
        <v>262</v>
      </c>
      <c r="F264" s="16"/>
      <c r="G264" s="99" t="s">
        <v>264</v>
      </c>
      <c r="H264" s="93">
        <f>H265</f>
        <v>1123.8</v>
      </c>
      <c r="I264" s="93">
        <f>I265</f>
        <v>150</v>
      </c>
      <c r="J264" s="93">
        <f>J265</f>
        <v>150</v>
      </c>
    </row>
    <row r="265" spans="1:10" ht="51" x14ac:dyDescent="0.25">
      <c r="A265" s="1"/>
      <c r="B265" s="25"/>
      <c r="C265" s="16" t="s">
        <v>95</v>
      </c>
      <c r="D265" s="16" t="s">
        <v>88</v>
      </c>
      <c r="E265" s="136" t="s">
        <v>480</v>
      </c>
      <c r="F265" s="3"/>
      <c r="G265" s="98" t="s">
        <v>263</v>
      </c>
      <c r="H265" s="41">
        <f>SUM(H266:H267)</f>
        <v>1123.8</v>
      </c>
      <c r="I265" s="41">
        <f t="shared" ref="I265:J265" si="85">SUM(I266:I267)</f>
        <v>150</v>
      </c>
      <c r="J265" s="41">
        <f t="shared" si="85"/>
        <v>150</v>
      </c>
    </row>
    <row r="266" spans="1:10" ht="38.25" x14ac:dyDescent="0.2">
      <c r="A266" s="1"/>
      <c r="B266" s="25"/>
      <c r="C266" s="16" t="s">
        <v>95</v>
      </c>
      <c r="D266" s="16" t="s">
        <v>88</v>
      </c>
      <c r="E266" s="136" t="s">
        <v>480</v>
      </c>
      <c r="F266" s="82" t="s">
        <v>211</v>
      </c>
      <c r="G266" s="98" t="s">
        <v>212</v>
      </c>
      <c r="H266" s="41">
        <f>1378.5-59.3-0.2-195.4</f>
        <v>1123.5999999999999</v>
      </c>
      <c r="I266" s="41">
        <v>150</v>
      </c>
      <c r="J266" s="41">
        <v>150</v>
      </c>
    </row>
    <row r="267" spans="1:10" x14ac:dyDescent="0.2">
      <c r="A267" s="1"/>
      <c r="B267" s="25"/>
      <c r="C267" s="16" t="s">
        <v>95</v>
      </c>
      <c r="D267" s="16" t="s">
        <v>88</v>
      </c>
      <c r="E267" s="136" t="s">
        <v>480</v>
      </c>
      <c r="F267" s="82" t="s">
        <v>750</v>
      </c>
      <c r="G267" s="173" t="s">
        <v>751</v>
      </c>
      <c r="H267" s="41">
        <v>0.2</v>
      </c>
      <c r="I267" s="41">
        <v>0</v>
      </c>
      <c r="J267" s="41">
        <v>0</v>
      </c>
    </row>
    <row r="268" spans="1:10" ht="38.25" x14ac:dyDescent="0.2">
      <c r="A268" s="1"/>
      <c r="B268" s="25"/>
      <c r="C268" s="16" t="s">
        <v>95</v>
      </c>
      <c r="D268" s="16" t="s">
        <v>88</v>
      </c>
      <c r="E268" s="21" t="s">
        <v>298</v>
      </c>
      <c r="F268" s="16"/>
      <c r="G268" s="99" t="s">
        <v>265</v>
      </c>
      <c r="H268" s="93">
        <f t="shared" ref="H268:J268" si="86">H269</f>
        <v>223.5</v>
      </c>
      <c r="I268" s="93">
        <f t="shared" si="86"/>
        <v>800</v>
      </c>
      <c r="J268" s="93">
        <f t="shared" si="86"/>
        <v>800</v>
      </c>
    </row>
    <row r="269" spans="1:10" ht="25.5" x14ac:dyDescent="0.25">
      <c r="A269" s="1"/>
      <c r="B269" s="25"/>
      <c r="C269" s="16" t="s">
        <v>95</v>
      </c>
      <c r="D269" s="16" t="s">
        <v>88</v>
      </c>
      <c r="E269" s="21" t="s">
        <v>481</v>
      </c>
      <c r="F269" s="3"/>
      <c r="G269" s="98" t="s">
        <v>335</v>
      </c>
      <c r="H269" s="41">
        <f>H270</f>
        <v>223.5</v>
      </c>
      <c r="I269" s="41">
        <f>I270</f>
        <v>800</v>
      </c>
      <c r="J269" s="41">
        <f>J270</f>
        <v>800</v>
      </c>
    </row>
    <row r="270" spans="1:10" ht="38.25" x14ac:dyDescent="0.2">
      <c r="A270" s="1"/>
      <c r="B270" s="25"/>
      <c r="C270" s="16" t="s">
        <v>95</v>
      </c>
      <c r="D270" s="16" t="s">
        <v>88</v>
      </c>
      <c r="E270" s="21" t="s">
        <v>481</v>
      </c>
      <c r="F270" s="82" t="s">
        <v>211</v>
      </c>
      <c r="G270" s="98" t="s">
        <v>212</v>
      </c>
      <c r="H270" s="39">
        <f>123.5+100</f>
        <v>223.5</v>
      </c>
      <c r="I270" s="39">
        <v>800</v>
      </c>
      <c r="J270" s="39">
        <v>800</v>
      </c>
    </row>
    <row r="271" spans="1:10" ht="38.25" x14ac:dyDescent="0.2">
      <c r="A271" s="1"/>
      <c r="B271" s="25"/>
      <c r="C271" s="47" t="s">
        <v>95</v>
      </c>
      <c r="D271" s="47" t="s">
        <v>88</v>
      </c>
      <c r="E271" s="52" t="s">
        <v>151</v>
      </c>
      <c r="F271" s="16"/>
      <c r="G271" s="48" t="s">
        <v>148</v>
      </c>
      <c r="H271" s="93">
        <f>H272+H279</f>
        <v>1207</v>
      </c>
      <c r="I271" s="93">
        <f t="shared" ref="I271:J271" si="87">I272+I279</f>
        <v>1510</v>
      </c>
      <c r="J271" s="93">
        <f t="shared" si="87"/>
        <v>200</v>
      </c>
    </row>
    <row r="272" spans="1:10" ht="25.5" x14ac:dyDescent="0.2">
      <c r="A272" s="1"/>
      <c r="B272" s="25"/>
      <c r="C272" s="16" t="s">
        <v>95</v>
      </c>
      <c r="D272" s="16" t="s">
        <v>88</v>
      </c>
      <c r="E272" s="21" t="s">
        <v>266</v>
      </c>
      <c r="F272" s="82"/>
      <c r="G272" s="99" t="s">
        <v>267</v>
      </c>
      <c r="H272" s="93">
        <f>H273+H275+H277</f>
        <v>101.7</v>
      </c>
      <c r="I272" s="93">
        <f t="shared" ref="I272:J272" si="88">I273+I275+I277</f>
        <v>290</v>
      </c>
      <c r="J272" s="93">
        <f t="shared" si="88"/>
        <v>200</v>
      </c>
    </row>
    <row r="273" spans="1:10" ht="132.75" customHeight="1" x14ac:dyDescent="0.25">
      <c r="A273" s="1"/>
      <c r="B273" s="25"/>
      <c r="C273" s="16" t="s">
        <v>95</v>
      </c>
      <c r="D273" s="16" t="s">
        <v>88</v>
      </c>
      <c r="E273" s="79">
        <v>520123261</v>
      </c>
      <c r="F273" s="3"/>
      <c r="G273" s="98" t="s">
        <v>268</v>
      </c>
      <c r="H273" s="41">
        <f>H274</f>
        <v>0</v>
      </c>
      <c r="I273" s="41">
        <f>I274</f>
        <v>100</v>
      </c>
      <c r="J273" s="41">
        <f>J274</f>
        <v>0</v>
      </c>
    </row>
    <row r="274" spans="1:10" ht="38.25" x14ac:dyDescent="0.2">
      <c r="A274" s="1"/>
      <c r="B274" s="25"/>
      <c r="C274" s="16" t="s">
        <v>95</v>
      </c>
      <c r="D274" s="16" t="s">
        <v>88</v>
      </c>
      <c r="E274" s="79">
        <v>520123261</v>
      </c>
      <c r="F274" s="82" t="s">
        <v>211</v>
      </c>
      <c r="G274" s="98" t="s">
        <v>212</v>
      </c>
      <c r="H274" s="41">
        <v>0</v>
      </c>
      <c r="I274" s="41">
        <v>100</v>
      </c>
      <c r="J274" s="41">
        <v>0</v>
      </c>
    </row>
    <row r="275" spans="1:10" ht="51" x14ac:dyDescent="0.2">
      <c r="A275" s="1"/>
      <c r="B275" s="25"/>
      <c r="C275" s="16" t="s">
        <v>95</v>
      </c>
      <c r="D275" s="16" t="s">
        <v>88</v>
      </c>
      <c r="E275" s="79">
        <v>520123262</v>
      </c>
      <c r="F275" s="16"/>
      <c r="G275" s="98" t="s">
        <v>299</v>
      </c>
      <c r="H275" s="41">
        <f>H276</f>
        <v>0</v>
      </c>
      <c r="I275" s="41">
        <f>I276</f>
        <v>20</v>
      </c>
      <c r="J275" s="41">
        <f>J276</f>
        <v>20</v>
      </c>
    </row>
    <row r="276" spans="1:10" ht="38.25" x14ac:dyDescent="0.2">
      <c r="A276" s="1"/>
      <c r="B276" s="25"/>
      <c r="C276" s="16" t="s">
        <v>95</v>
      </c>
      <c r="D276" s="16" t="s">
        <v>88</v>
      </c>
      <c r="E276" s="79">
        <v>520123262</v>
      </c>
      <c r="F276" s="82" t="s">
        <v>211</v>
      </c>
      <c r="G276" s="98" t="s">
        <v>212</v>
      </c>
      <c r="H276" s="41">
        <v>0</v>
      </c>
      <c r="I276" s="41">
        <v>20</v>
      </c>
      <c r="J276" s="41">
        <v>20</v>
      </c>
    </row>
    <row r="277" spans="1:10" ht="25.5" x14ac:dyDescent="0.2">
      <c r="A277" s="1"/>
      <c r="B277" s="25"/>
      <c r="C277" s="16" t="s">
        <v>95</v>
      </c>
      <c r="D277" s="16" t="s">
        <v>88</v>
      </c>
      <c r="E277" s="136" t="s">
        <v>482</v>
      </c>
      <c r="F277" s="82"/>
      <c r="G277" s="98" t="s">
        <v>483</v>
      </c>
      <c r="H277" s="41">
        <f>H278</f>
        <v>101.7</v>
      </c>
      <c r="I277" s="41">
        <f>I278</f>
        <v>170</v>
      </c>
      <c r="J277" s="41">
        <f>J278</f>
        <v>180</v>
      </c>
    </row>
    <row r="278" spans="1:10" ht="38.25" x14ac:dyDescent="0.2">
      <c r="A278" s="1"/>
      <c r="B278" s="25"/>
      <c r="C278" s="16" t="s">
        <v>95</v>
      </c>
      <c r="D278" s="16" t="s">
        <v>88</v>
      </c>
      <c r="E278" s="136" t="s">
        <v>482</v>
      </c>
      <c r="F278" s="82" t="s">
        <v>211</v>
      </c>
      <c r="G278" s="98" t="s">
        <v>212</v>
      </c>
      <c r="H278" s="41">
        <f>160-58.3</f>
        <v>101.7</v>
      </c>
      <c r="I278" s="41">
        <v>170</v>
      </c>
      <c r="J278" s="41">
        <v>180</v>
      </c>
    </row>
    <row r="279" spans="1:10" ht="25.5" x14ac:dyDescent="0.2">
      <c r="A279" s="1"/>
      <c r="B279" s="25"/>
      <c r="C279" s="16" t="s">
        <v>95</v>
      </c>
      <c r="D279" s="16" t="s">
        <v>88</v>
      </c>
      <c r="E279" s="21" t="s">
        <v>269</v>
      </c>
      <c r="F279" s="82"/>
      <c r="G279" s="99" t="s">
        <v>484</v>
      </c>
      <c r="H279" s="41">
        <f>H280+H282+H284</f>
        <v>1105.3</v>
      </c>
      <c r="I279" s="41">
        <f t="shared" ref="I279:J279" si="89">I280+I282+I284</f>
        <v>1220</v>
      </c>
      <c r="J279" s="41">
        <f t="shared" si="89"/>
        <v>0</v>
      </c>
    </row>
    <row r="280" spans="1:10" ht="51" x14ac:dyDescent="0.2">
      <c r="A280" s="1"/>
      <c r="B280" s="25"/>
      <c r="C280" s="16" t="s">
        <v>95</v>
      </c>
      <c r="D280" s="16" t="s">
        <v>88</v>
      </c>
      <c r="E280" s="79">
        <v>520223264</v>
      </c>
      <c r="F280" s="82"/>
      <c r="G280" s="98" t="s">
        <v>762</v>
      </c>
      <c r="H280" s="41">
        <f>H281</f>
        <v>905.3</v>
      </c>
      <c r="I280" s="41">
        <f t="shared" ref="I280:J280" si="90">I281</f>
        <v>0</v>
      </c>
      <c r="J280" s="41">
        <f t="shared" si="90"/>
        <v>0</v>
      </c>
    </row>
    <row r="281" spans="1:10" ht="25.5" x14ac:dyDescent="0.2">
      <c r="A281" s="1"/>
      <c r="B281" s="25"/>
      <c r="C281" s="16" t="s">
        <v>95</v>
      </c>
      <c r="D281" s="16" t="s">
        <v>88</v>
      </c>
      <c r="E281" s="79">
        <v>520223264</v>
      </c>
      <c r="F281" s="82" t="s">
        <v>131</v>
      </c>
      <c r="G281" s="98" t="s">
        <v>132</v>
      </c>
      <c r="H281" s="41">
        <v>905.3</v>
      </c>
      <c r="I281" s="41">
        <v>0</v>
      </c>
      <c r="J281" s="41">
        <v>0</v>
      </c>
    </row>
    <row r="282" spans="1:10" ht="63.75" x14ac:dyDescent="0.2">
      <c r="A282" s="1"/>
      <c r="B282" s="25"/>
      <c r="C282" s="16" t="s">
        <v>95</v>
      </c>
      <c r="D282" s="16" t="s">
        <v>88</v>
      </c>
      <c r="E282" s="79">
        <v>520223265</v>
      </c>
      <c r="F282" s="82"/>
      <c r="G282" s="98" t="s">
        <v>485</v>
      </c>
      <c r="H282" s="41">
        <f>H283</f>
        <v>0</v>
      </c>
      <c r="I282" s="41">
        <f>I283</f>
        <v>1220</v>
      </c>
      <c r="J282" s="41">
        <f>J283</f>
        <v>0</v>
      </c>
    </row>
    <row r="283" spans="1:10" x14ac:dyDescent="0.2">
      <c r="A283" s="1"/>
      <c r="B283" s="25"/>
      <c r="C283" s="16" t="s">
        <v>95</v>
      </c>
      <c r="D283" s="16" t="s">
        <v>88</v>
      </c>
      <c r="E283" s="79">
        <v>520223265</v>
      </c>
      <c r="F283" s="82" t="s">
        <v>248</v>
      </c>
      <c r="G283" s="99" t="s">
        <v>271</v>
      </c>
      <c r="H283" s="41">
        <f>2890-2890</f>
        <v>0</v>
      </c>
      <c r="I283" s="41">
        <v>1220</v>
      </c>
      <c r="J283" s="41">
        <v>0</v>
      </c>
    </row>
    <row r="284" spans="1:10" ht="38.25" x14ac:dyDescent="0.2">
      <c r="A284" s="1"/>
      <c r="B284" s="25"/>
      <c r="C284" s="16" t="s">
        <v>95</v>
      </c>
      <c r="D284" s="16" t="s">
        <v>88</v>
      </c>
      <c r="E284" s="21" t="s">
        <v>486</v>
      </c>
      <c r="F284" s="82"/>
      <c r="G284" s="99" t="s">
        <v>272</v>
      </c>
      <c r="H284" s="41">
        <f>H285</f>
        <v>200</v>
      </c>
      <c r="I284" s="41">
        <f>I285</f>
        <v>0</v>
      </c>
      <c r="J284" s="41">
        <f>J285</f>
        <v>0</v>
      </c>
    </row>
    <row r="285" spans="1:10" ht="38.25" x14ac:dyDescent="0.2">
      <c r="A285" s="1"/>
      <c r="B285" s="25"/>
      <c r="C285" s="16" t="s">
        <v>95</v>
      </c>
      <c r="D285" s="16" t="s">
        <v>88</v>
      </c>
      <c r="E285" s="21" t="s">
        <v>486</v>
      </c>
      <c r="F285" s="82" t="s">
        <v>211</v>
      </c>
      <c r="G285" s="98" t="s">
        <v>212</v>
      </c>
      <c r="H285" s="41">
        <v>200</v>
      </c>
      <c r="I285" s="39">
        <v>0</v>
      </c>
      <c r="J285" s="39">
        <v>0</v>
      </c>
    </row>
    <row r="286" spans="1:10" ht="63.75" x14ac:dyDescent="0.2">
      <c r="A286" s="1"/>
      <c r="B286" s="25"/>
      <c r="C286" s="16" t="s">
        <v>95</v>
      </c>
      <c r="D286" s="16" t="s">
        <v>88</v>
      </c>
      <c r="E286" s="52" t="s">
        <v>152</v>
      </c>
      <c r="F286" s="16"/>
      <c r="G286" s="48" t="s">
        <v>149</v>
      </c>
      <c r="H286" s="93">
        <f>H287+H290</f>
        <v>1985</v>
      </c>
      <c r="I286" s="93">
        <f>I287+I290</f>
        <v>3301.3</v>
      </c>
      <c r="J286" s="93">
        <f>J287+J290</f>
        <v>1461.3</v>
      </c>
    </row>
    <row r="287" spans="1:10" ht="76.5" x14ac:dyDescent="0.2">
      <c r="A287" s="1"/>
      <c r="B287" s="25"/>
      <c r="C287" s="16" t="s">
        <v>95</v>
      </c>
      <c r="D287" s="16" t="s">
        <v>88</v>
      </c>
      <c r="E287" s="21" t="s">
        <v>273</v>
      </c>
      <c r="F287" s="82"/>
      <c r="G287" s="99" t="s">
        <v>310</v>
      </c>
      <c r="H287" s="39">
        <f t="shared" ref="H287:J288" si="91">H288</f>
        <v>1985</v>
      </c>
      <c r="I287" s="39">
        <f t="shared" si="91"/>
        <v>1461.3</v>
      </c>
      <c r="J287" s="39">
        <f t="shared" si="91"/>
        <v>1461.3</v>
      </c>
    </row>
    <row r="288" spans="1:10" ht="68.25" customHeight="1" x14ac:dyDescent="0.2">
      <c r="A288" s="1"/>
      <c r="B288" s="25"/>
      <c r="C288" s="82" t="s">
        <v>95</v>
      </c>
      <c r="D288" s="82" t="s">
        <v>88</v>
      </c>
      <c r="E288" s="79">
        <v>530123271</v>
      </c>
      <c r="F288" s="16"/>
      <c r="G288" s="98" t="s">
        <v>153</v>
      </c>
      <c r="H288" s="41">
        <f t="shared" si="91"/>
        <v>1985</v>
      </c>
      <c r="I288" s="41">
        <f t="shared" si="91"/>
        <v>1461.3</v>
      </c>
      <c r="J288" s="41">
        <f t="shared" si="91"/>
        <v>1461.3</v>
      </c>
    </row>
    <row r="289" spans="1:10" ht="38.25" x14ac:dyDescent="0.2">
      <c r="A289" s="1"/>
      <c r="B289" s="25"/>
      <c r="C289" s="16" t="s">
        <v>95</v>
      </c>
      <c r="D289" s="16" t="s">
        <v>88</v>
      </c>
      <c r="E289" s="79">
        <v>530123271</v>
      </c>
      <c r="F289" s="82" t="s">
        <v>211</v>
      </c>
      <c r="G289" s="98" t="s">
        <v>212</v>
      </c>
      <c r="H289" s="147">
        <f>961.3+456.1+59.3+253.7+104.6+150</f>
        <v>1985</v>
      </c>
      <c r="I289" s="1">
        <v>1461.3</v>
      </c>
      <c r="J289" s="1">
        <v>1461.3</v>
      </c>
    </row>
    <row r="290" spans="1:10" ht="51" x14ac:dyDescent="0.2">
      <c r="A290" s="1"/>
      <c r="B290" s="25"/>
      <c r="C290" s="16" t="s">
        <v>95</v>
      </c>
      <c r="D290" s="16" t="s">
        <v>88</v>
      </c>
      <c r="E290" s="21" t="s">
        <v>274</v>
      </c>
      <c r="F290" s="16"/>
      <c r="G290" s="99" t="s">
        <v>487</v>
      </c>
      <c r="H290" s="41">
        <f t="shared" ref="H290:J291" si="92">H291</f>
        <v>0</v>
      </c>
      <c r="I290" s="41">
        <f t="shared" si="92"/>
        <v>1840</v>
      </c>
      <c r="J290" s="41">
        <f t="shared" si="92"/>
        <v>0</v>
      </c>
    </row>
    <row r="291" spans="1:10" ht="51" x14ac:dyDescent="0.2">
      <c r="A291" s="1"/>
      <c r="B291" s="25"/>
      <c r="C291" s="16" t="s">
        <v>95</v>
      </c>
      <c r="D291" s="16" t="s">
        <v>88</v>
      </c>
      <c r="E291" s="79">
        <v>530223272</v>
      </c>
      <c r="F291" s="16"/>
      <c r="G291" s="98" t="s">
        <v>488</v>
      </c>
      <c r="H291" s="41">
        <f t="shared" si="92"/>
        <v>0</v>
      </c>
      <c r="I291" s="41">
        <f t="shared" si="92"/>
        <v>1840</v>
      </c>
      <c r="J291" s="41">
        <f t="shared" si="92"/>
        <v>0</v>
      </c>
    </row>
    <row r="292" spans="1:10" ht="38.25" x14ac:dyDescent="0.2">
      <c r="A292" s="1"/>
      <c r="B292" s="25"/>
      <c r="C292" s="16" t="s">
        <v>95</v>
      </c>
      <c r="D292" s="16" t="s">
        <v>88</v>
      </c>
      <c r="E292" s="79">
        <v>530223272</v>
      </c>
      <c r="F292" s="82" t="s">
        <v>211</v>
      </c>
      <c r="G292" s="98" t="s">
        <v>212</v>
      </c>
      <c r="H292" s="41">
        <v>0</v>
      </c>
      <c r="I292" s="41">
        <v>1840</v>
      </c>
      <c r="J292" s="41">
        <v>0</v>
      </c>
    </row>
    <row r="293" spans="1:10" ht="14.25" x14ac:dyDescent="0.2">
      <c r="A293" s="1"/>
      <c r="B293" s="25"/>
      <c r="C293" s="30" t="s">
        <v>95</v>
      </c>
      <c r="D293" s="30" t="s">
        <v>89</v>
      </c>
      <c r="E293" s="30"/>
      <c r="F293" s="30"/>
      <c r="G293" s="27" t="s">
        <v>41</v>
      </c>
      <c r="H293" s="40">
        <f>H294+H309+H338</f>
        <v>52893.299999999988</v>
      </c>
      <c r="I293" s="40">
        <f>I294+I309</f>
        <v>13487.8</v>
      </c>
      <c r="J293" s="40">
        <f>J294+J309</f>
        <v>12484</v>
      </c>
    </row>
    <row r="294" spans="1:10" ht="89.25" x14ac:dyDescent="0.2">
      <c r="A294" s="1"/>
      <c r="B294" s="25"/>
      <c r="C294" s="5" t="s">
        <v>95</v>
      </c>
      <c r="D294" s="5" t="s">
        <v>89</v>
      </c>
      <c r="E294" s="76">
        <v>400000000</v>
      </c>
      <c r="F294" s="16"/>
      <c r="G294" s="141" t="s">
        <v>575</v>
      </c>
      <c r="H294" s="96">
        <f t="shared" ref="H294:J295" si="93">H295</f>
        <v>13881.8</v>
      </c>
      <c r="I294" s="96">
        <f t="shared" si="93"/>
        <v>5125</v>
      </c>
      <c r="J294" s="96">
        <f t="shared" si="93"/>
        <v>4158.8</v>
      </c>
    </row>
    <row r="295" spans="1:10" ht="79.5" customHeight="1" x14ac:dyDescent="0.2">
      <c r="A295" s="1"/>
      <c r="B295" s="25"/>
      <c r="C295" s="16" t="s">
        <v>95</v>
      </c>
      <c r="D295" s="16" t="s">
        <v>89</v>
      </c>
      <c r="E295" s="75">
        <v>430000000</v>
      </c>
      <c r="F295" s="16"/>
      <c r="G295" s="46" t="s">
        <v>642</v>
      </c>
      <c r="H295" s="93">
        <f>H296</f>
        <v>13881.8</v>
      </c>
      <c r="I295" s="93">
        <f t="shared" si="93"/>
        <v>5125</v>
      </c>
      <c r="J295" s="93">
        <f t="shared" si="93"/>
        <v>4158.8</v>
      </c>
    </row>
    <row r="296" spans="1:10" ht="38.25" x14ac:dyDescent="0.2">
      <c r="A296" s="1"/>
      <c r="B296" s="25"/>
      <c r="C296" s="16" t="s">
        <v>95</v>
      </c>
      <c r="D296" s="16" t="s">
        <v>89</v>
      </c>
      <c r="E296" s="74">
        <v>430200000</v>
      </c>
      <c r="F296" s="16"/>
      <c r="G296" s="97" t="s">
        <v>293</v>
      </c>
      <c r="H296" s="41">
        <f>H297+H299+H301+H303+H305+H307</f>
        <v>13881.8</v>
      </c>
      <c r="I296" s="41">
        <f t="shared" ref="I296:J296" si="94">I297+I299+I301+I303+I305+I307</f>
        <v>5125</v>
      </c>
      <c r="J296" s="41">
        <f t="shared" si="94"/>
        <v>4158.8</v>
      </c>
    </row>
    <row r="297" spans="1:10" ht="107.25" customHeight="1" x14ac:dyDescent="0.2">
      <c r="A297" s="1"/>
      <c r="B297" s="25"/>
      <c r="C297" s="16" t="s">
        <v>95</v>
      </c>
      <c r="D297" s="16" t="s">
        <v>89</v>
      </c>
      <c r="E297" s="74">
        <v>430227340</v>
      </c>
      <c r="F297" s="16"/>
      <c r="G297" s="98" t="s">
        <v>605</v>
      </c>
      <c r="H297" s="39">
        <f>H298</f>
        <v>1364</v>
      </c>
      <c r="I297" s="39">
        <f t="shared" ref="I297:J297" si="95">I298</f>
        <v>1364</v>
      </c>
      <c r="J297" s="39">
        <f t="shared" si="95"/>
        <v>1364</v>
      </c>
    </row>
    <row r="298" spans="1:10" ht="63.75" x14ac:dyDescent="0.2">
      <c r="A298" s="1"/>
      <c r="B298" s="25"/>
      <c r="C298" s="16" t="s">
        <v>95</v>
      </c>
      <c r="D298" s="16" t="s">
        <v>89</v>
      </c>
      <c r="E298" s="74">
        <v>430227340</v>
      </c>
      <c r="F298" s="16" t="s">
        <v>12</v>
      </c>
      <c r="G298" s="98" t="s">
        <v>318</v>
      </c>
      <c r="H298" s="39">
        <v>1364</v>
      </c>
      <c r="I298" s="39">
        <v>1364</v>
      </c>
      <c r="J298" s="39">
        <v>1364</v>
      </c>
    </row>
    <row r="299" spans="1:10" ht="116.25" customHeight="1" x14ac:dyDescent="0.2">
      <c r="A299" s="1"/>
      <c r="B299" s="25"/>
      <c r="C299" s="16" t="s">
        <v>95</v>
      </c>
      <c r="D299" s="16" t="s">
        <v>89</v>
      </c>
      <c r="E299" s="74">
        <v>430227350</v>
      </c>
      <c r="F299" s="16"/>
      <c r="G299" s="98" t="s">
        <v>596</v>
      </c>
      <c r="H299" s="39">
        <f>H300</f>
        <v>25.5</v>
      </c>
      <c r="I299" s="39">
        <f t="shared" ref="I299:J299" si="96">I300</f>
        <v>25.5</v>
      </c>
      <c r="J299" s="39">
        <f t="shared" si="96"/>
        <v>25.5</v>
      </c>
    </row>
    <row r="300" spans="1:10" ht="63.75" x14ac:dyDescent="0.2">
      <c r="A300" s="1"/>
      <c r="B300" s="25"/>
      <c r="C300" s="16" t="s">
        <v>95</v>
      </c>
      <c r="D300" s="16" t="s">
        <v>89</v>
      </c>
      <c r="E300" s="74">
        <v>430227350</v>
      </c>
      <c r="F300" s="16" t="s">
        <v>12</v>
      </c>
      <c r="G300" s="98" t="s">
        <v>318</v>
      </c>
      <c r="H300" s="39">
        <v>25.5</v>
      </c>
      <c r="I300" s="39">
        <v>25.5</v>
      </c>
      <c r="J300" s="39">
        <v>25.5</v>
      </c>
    </row>
    <row r="301" spans="1:10" ht="127.5" x14ac:dyDescent="0.2">
      <c r="A301" s="1"/>
      <c r="B301" s="25"/>
      <c r="C301" s="16" t="s">
        <v>95</v>
      </c>
      <c r="D301" s="16" t="s">
        <v>89</v>
      </c>
      <c r="E301" s="74">
        <v>430227360</v>
      </c>
      <c r="F301" s="16"/>
      <c r="G301" s="98" t="s">
        <v>597</v>
      </c>
      <c r="H301" s="39">
        <f>H302</f>
        <v>5593.6</v>
      </c>
      <c r="I301" s="39">
        <f t="shared" ref="I301:J301" si="97">I302</f>
        <v>1661.6</v>
      </c>
      <c r="J301" s="39">
        <f t="shared" si="97"/>
        <v>1661.6</v>
      </c>
    </row>
    <row r="302" spans="1:10" ht="63.75" x14ac:dyDescent="0.2">
      <c r="A302" s="1"/>
      <c r="B302" s="25"/>
      <c r="C302" s="16" t="s">
        <v>95</v>
      </c>
      <c r="D302" s="16" t="s">
        <v>89</v>
      </c>
      <c r="E302" s="74">
        <v>430227360</v>
      </c>
      <c r="F302" s="16" t="s">
        <v>12</v>
      </c>
      <c r="G302" s="98" t="s">
        <v>318</v>
      </c>
      <c r="H302" s="39">
        <f>5293.6+300</f>
        <v>5593.6</v>
      </c>
      <c r="I302" s="39">
        <v>1661.6</v>
      </c>
      <c r="J302" s="39">
        <v>1661.6</v>
      </c>
    </row>
    <row r="303" spans="1:10" ht="171" customHeight="1" x14ac:dyDescent="0.2">
      <c r="A303" s="1"/>
      <c r="B303" s="25"/>
      <c r="C303" s="16" t="s">
        <v>95</v>
      </c>
      <c r="D303" s="16" t="s">
        <v>89</v>
      </c>
      <c r="E303" s="74">
        <v>430227370</v>
      </c>
      <c r="F303" s="16"/>
      <c r="G303" s="98" t="s">
        <v>606</v>
      </c>
      <c r="H303" s="39">
        <f>H304</f>
        <v>1000</v>
      </c>
      <c r="I303" s="39">
        <f t="shared" ref="I303:J303" si="98">I304</f>
        <v>1107.7</v>
      </c>
      <c r="J303" s="39">
        <f t="shared" si="98"/>
        <v>1107.7</v>
      </c>
    </row>
    <row r="304" spans="1:10" ht="63.75" x14ac:dyDescent="0.2">
      <c r="A304" s="1"/>
      <c r="B304" s="25"/>
      <c r="C304" s="16" t="s">
        <v>95</v>
      </c>
      <c r="D304" s="16" t="s">
        <v>89</v>
      </c>
      <c r="E304" s="74">
        <v>430227370</v>
      </c>
      <c r="F304" s="16" t="s">
        <v>12</v>
      </c>
      <c r="G304" s="98" t="s">
        <v>318</v>
      </c>
      <c r="H304" s="39">
        <v>1000</v>
      </c>
      <c r="I304" s="39">
        <v>1107.7</v>
      </c>
      <c r="J304" s="39">
        <v>1107.7</v>
      </c>
    </row>
    <row r="305" spans="1:10" ht="112.5" customHeight="1" x14ac:dyDescent="0.2">
      <c r="A305" s="1"/>
      <c r="B305" s="25"/>
      <c r="C305" s="16" t="s">
        <v>95</v>
      </c>
      <c r="D305" s="16" t="s">
        <v>89</v>
      </c>
      <c r="E305" s="74">
        <v>430227390</v>
      </c>
      <c r="F305" s="16"/>
      <c r="G305" s="98" t="s">
        <v>641</v>
      </c>
      <c r="H305" s="39">
        <f>H306</f>
        <v>2898.7</v>
      </c>
      <c r="I305" s="39">
        <f t="shared" ref="I305:J305" si="99">I306</f>
        <v>966.2</v>
      </c>
      <c r="J305" s="39">
        <f t="shared" si="99"/>
        <v>0</v>
      </c>
    </row>
    <row r="306" spans="1:10" ht="63.75" x14ac:dyDescent="0.2">
      <c r="A306" s="1"/>
      <c r="B306" s="25"/>
      <c r="C306" s="16" t="s">
        <v>95</v>
      </c>
      <c r="D306" s="16" t="s">
        <v>89</v>
      </c>
      <c r="E306" s="74">
        <v>430227390</v>
      </c>
      <c r="F306" s="16" t="s">
        <v>12</v>
      </c>
      <c r="G306" s="98" t="s">
        <v>318</v>
      </c>
      <c r="H306" s="39">
        <v>2898.7</v>
      </c>
      <c r="I306" s="39">
        <v>966.2</v>
      </c>
      <c r="J306" s="39">
        <v>0</v>
      </c>
    </row>
    <row r="307" spans="1:10" ht="127.5" x14ac:dyDescent="0.2">
      <c r="A307" s="1"/>
      <c r="B307" s="25"/>
      <c r="C307" s="16" t="s">
        <v>95</v>
      </c>
      <c r="D307" s="16" t="s">
        <v>89</v>
      </c>
      <c r="E307" s="74">
        <v>430227400</v>
      </c>
      <c r="F307" s="16"/>
      <c r="G307" s="98" t="s">
        <v>717</v>
      </c>
      <c r="H307" s="39">
        <f>H308</f>
        <v>3000</v>
      </c>
      <c r="I307" s="39">
        <f t="shared" ref="I307:J307" si="100">I308</f>
        <v>0</v>
      </c>
      <c r="J307" s="39">
        <f t="shared" si="100"/>
        <v>0</v>
      </c>
    </row>
    <row r="308" spans="1:10" ht="63.75" x14ac:dyDescent="0.2">
      <c r="A308" s="1"/>
      <c r="B308" s="25"/>
      <c r="C308" s="16" t="s">
        <v>95</v>
      </c>
      <c r="D308" s="16" t="s">
        <v>89</v>
      </c>
      <c r="E308" s="74">
        <v>430227400</v>
      </c>
      <c r="F308" s="16" t="s">
        <v>12</v>
      </c>
      <c r="G308" s="98" t="s">
        <v>318</v>
      </c>
      <c r="H308" s="39">
        <f>2000+1000</f>
        <v>3000</v>
      </c>
      <c r="I308" s="39">
        <v>0</v>
      </c>
      <c r="J308" s="39">
        <v>0</v>
      </c>
    </row>
    <row r="309" spans="1:10" ht="102" x14ac:dyDescent="0.2">
      <c r="A309" s="1"/>
      <c r="B309" s="25"/>
      <c r="C309" s="5" t="s">
        <v>95</v>
      </c>
      <c r="D309" s="5" t="s">
        <v>89</v>
      </c>
      <c r="E309" s="81" t="s">
        <v>32</v>
      </c>
      <c r="F309" s="16"/>
      <c r="G309" s="53" t="s">
        <v>577</v>
      </c>
      <c r="H309" s="96">
        <f>H310+H319+H331</f>
        <v>38891.499999999993</v>
      </c>
      <c r="I309" s="96">
        <f>I310+I319+I331</f>
        <v>8362.7999999999993</v>
      </c>
      <c r="J309" s="96">
        <f>J310+J319+J331</f>
        <v>8325.2000000000007</v>
      </c>
    </row>
    <row r="310" spans="1:10" ht="38.25" x14ac:dyDescent="0.2">
      <c r="A310" s="1"/>
      <c r="B310" s="25"/>
      <c r="C310" s="16" t="s">
        <v>95</v>
      </c>
      <c r="D310" s="16" t="s">
        <v>89</v>
      </c>
      <c r="E310" s="52" t="s">
        <v>33</v>
      </c>
      <c r="F310" s="16"/>
      <c r="G310" s="48" t="s">
        <v>546</v>
      </c>
      <c r="H310" s="93">
        <f>H311+H314</f>
        <v>686.9</v>
      </c>
      <c r="I310" s="93">
        <f>I311+I314</f>
        <v>685</v>
      </c>
      <c r="J310" s="93">
        <f>J311+J314</f>
        <v>530</v>
      </c>
    </row>
    <row r="311" spans="1:10" ht="38.25" x14ac:dyDescent="0.2">
      <c r="A311" s="1"/>
      <c r="B311" s="25"/>
      <c r="C311" s="16" t="s">
        <v>95</v>
      </c>
      <c r="D311" s="16" t="s">
        <v>89</v>
      </c>
      <c r="E311" s="21" t="s">
        <v>235</v>
      </c>
      <c r="F311" s="16"/>
      <c r="G311" s="99" t="s">
        <v>234</v>
      </c>
      <c r="H311" s="93">
        <f t="shared" ref="H311:J312" si="101">H312</f>
        <v>521.9</v>
      </c>
      <c r="I311" s="93">
        <f t="shared" si="101"/>
        <v>510</v>
      </c>
      <c r="J311" s="93">
        <f t="shared" si="101"/>
        <v>510</v>
      </c>
    </row>
    <row r="312" spans="1:10" ht="25.5" x14ac:dyDescent="0.25">
      <c r="A312" s="1"/>
      <c r="B312" s="25"/>
      <c r="C312" s="16" t="s">
        <v>95</v>
      </c>
      <c r="D312" s="16" t="s">
        <v>89</v>
      </c>
      <c r="E312" s="21" t="s">
        <v>492</v>
      </c>
      <c r="F312" s="3"/>
      <c r="G312" s="98" t="s">
        <v>188</v>
      </c>
      <c r="H312" s="41">
        <f t="shared" si="101"/>
        <v>521.9</v>
      </c>
      <c r="I312" s="41">
        <f t="shared" si="101"/>
        <v>510</v>
      </c>
      <c r="J312" s="41">
        <f t="shared" si="101"/>
        <v>510</v>
      </c>
    </row>
    <row r="313" spans="1:10" ht="38.25" x14ac:dyDescent="0.2">
      <c r="A313" s="1"/>
      <c r="B313" s="25"/>
      <c r="C313" s="16" t="s">
        <v>95</v>
      </c>
      <c r="D313" s="16" t="s">
        <v>89</v>
      </c>
      <c r="E313" s="21" t="s">
        <v>492</v>
      </c>
      <c r="F313" s="82" t="s">
        <v>211</v>
      </c>
      <c r="G313" s="98" t="s">
        <v>212</v>
      </c>
      <c r="H313" s="41">
        <f>510+11.9</f>
        <v>521.9</v>
      </c>
      <c r="I313" s="41">
        <v>510</v>
      </c>
      <c r="J313" s="41">
        <v>510</v>
      </c>
    </row>
    <row r="314" spans="1:10" ht="38.25" x14ac:dyDescent="0.2">
      <c r="A314" s="1"/>
      <c r="B314" s="25"/>
      <c r="C314" s="16" t="s">
        <v>95</v>
      </c>
      <c r="D314" s="16" t="s">
        <v>89</v>
      </c>
      <c r="E314" s="21" t="s">
        <v>494</v>
      </c>
      <c r="F314" s="82"/>
      <c r="G314" s="99" t="s">
        <v>334</v>
      </c>
      <c r="H314" s="41">
        <f>H315+H317</f>
        <v>165</v>
      </c>
      <c r="I314" s="41">
        <f t="shared" ref="I314:J314" si="102">I315+I317</f>
        <v>175</v>
      </c>
      <c r="J314" s="41">
        <f t="shared" si="102"/>
        <v>20</v>
      </c>
    </row>
    <row r="315" spans="1:10" ht="25.5" x14ac:dyDescent="0.2">
      <c r="A315" s="1"/>
      <c r="B315" s="25"/>
      <c r="C315" s="16" t="s">
        <v>95</v>
      </c>
      <c r="D315" s="16" t="s">
        <v>89</v>
      </c>
      <c r="E315" s="21" t="s">
        <v>493</v>
      </c>
      <c r="F315" s="16"/>
      <c r="G315" s="98" t="s">
        <v>333</v>
      </c>
      <c r="H315" s="41">
        <f t="shared" ref="H315:J315" si="103">H316</f>
        <v>10</v>
      </c>
      <c r="I315" s="41">
        <f t="shared" si="103"/>
        <v>20</v>
      </c>
      <c r="J315" s="41">
        <f t="shared" si="103"/>
        <v>20</v>
      </c>
    </row>
    <row r="316" spans="1:10" ht="38.25" x14ac:dyDescent="0.2">
      <c r="A316" s="1"/>
      <c r="B316" s="25"/>
      <c r="C316" s="16" t="s">
        <v>95</v>
      </c>
      <c r="D316" s="16" t="s">
        <v>89</v>
      </c>
      <c r="E316" s="21" t="s">
        <v>493</v>
      </c>
      <c r="F316" s="82" t="s">
        <v>211</v>
      </c>
      <c r="G316" s="98" t="s">
        <v>212</v>
      </c>
      <c r="H316" s="41">
        <v>10</v>
      </c>
      <c r="I316" s="41">
        <v>20</v>
      </c>
      <c r="J316" s="41">
        <v>20</v>
      </c>
    </row>
    <row r="317" spans="1:10" ht="38.25" x14ac:dyDescent="0.2">
      <c r="A317" s="1"/>
      <c r="B317" s="25"/>
      <c r="C317" s="16" t="s">
        <v>95</v>
      </c>
      <c r="D317" s="16" t="s">
        <v>89</v>
      </c>
      <c r="E317" s="21" t="s">
        <v>547</v>
      </c>
      <c r="F317" s="82"/>
      <c r="G317" s="98" t="s">
        <v>548</v>
      </c>
      <c r="H317" s="41">
        <f>H318</f>
        <v>155</v>
      </c>
      <c r="I317" s="41">
        <f t="shared" ref="I317:J317" si="104">I318</f>
        <v>155</v>
      </c>
      <c r="J317" s="41">
        <f t="shared" si="104"/>
        <v>0</v>
      </c>
    </row>
    <row r="318" spans="1:10" ht="38.25" x14ac:dyDescent="0.2">
      <c r="A318" s="1"/>
      <c r="B318" s="25"/>
      <c r="C318" s="16" t="s">
        <v>95</v>
      </c>
      <c r="D318" s="16" t="s">
        <v>89</v>
      </c>
      <c r="E318" s="21" t="s">
        <v>547</v>
      </c>
      <c r="F318" s="82" t="s">
        <v>211</v>
      </c>
      <c r="G318" s="98" t="s">
        <v>212</v>
      </c>
      <c r="H318" s="41">
        <v>155</v>
      </c>
      <c r="I318" s="41">
        <v>155</v>
      </c>
      <c r="J318" s="41">
        <v>0</v>
      </c>
    </row>
    <row r="319" spans="1:10" ht="25.5" x14ac:dyDescent="0.2">
      <c r="A319" s="1"/>
      <c r="B319" s="25"/>
      <c r="C319" s="47" t="s">
        <v>95</v>
      </c>
      <c r="D319" s="47" t="s">
        <v>89</v>
      </c>
      <c r="E319" s="52" t="s">
        <v>368</v>
      </c>
      <c r="F319" s="16"/>
      <c r="G319" s="46" t="s">
        <v>341</v>
      </c>
      <c r="H319" s="93">
        <f>H320+H326</f>
        <v>34985.899999999994</v>
      </c>
      <c r="I319" s="93">
        <f t="shared" ref="I319:J319" si="105">I320+I326</f>
        <v>2850</v>
      </c>
      <c r="J319" s="93">
        <f t="shared" si="105"/>
        <v>2850</v>
      </c>
    </row>
    <row r="320" spans="1:10" ht="38.25" x14ac:dyDescent="0.2">
      <c r="A320" s="1"/>
      <c r="B320" s="25"/>
      <c r="C320" s="16" t="s">
        <v>95</v>
      </c>
      <c r="D320" s="16" t="s">
        <v>89</v>
      </c>
      <c r="E320" s="21" t="s">
        <v>495</v>
      </c>
      <c r="F320" s="16"/>
      <c r="G320" s="99" t="s">
        <v>302</v>
      </c>
      <c r="H320" s="39">
        <f>H321+H323</f>
        <v>1742.7</v>
      </c>
      <c r="I320" s="39">
        <f t="shared" ref="I320:J320" si="106">I321+I323</f>
        <v>750</v>
      </c>
      <c r="J320" s="39">
        <f t="shared" si="106"/>
        <v>750</v>
      </c>
    </row>
    <row r="321" spans="1:10" ht="38.25" x14ac:dyDescent="0.2">
      <c r="A321" s="1"/>
      <c r="B321" s="25"/>
      <c r="C321" s="16" t="s">
        <v>95</v>
      </c>
      <c r="D321" s="16" t="s">
        <v>89</v>
      </c>
      <c r="E321" s="21" t="s">
        <v>496</v>
      </c>
      <c r="F321" s="16"/>
      <c r="G321" s="97" t="s">
        <v>189</v>
      </c>
      <c r="H321" s="41">
        <f>H322</f>
        <v>200</v>
      </c>
      <c r="I321" s="41">
        <f>I322</f>
        <v>200</v>
      </c>
      <c r="J321" s="41">
        <f>J322</f>
        <v>200</v>
      </c>
    </row>
    <row r="322" spans="1:10" ht="38.25" x14ac:dyDescent="0.2">
      <c r="A322" s="1"/>
      <c r="B322" s="25"/>
      <c r="C322" s="16" t="s">
        <v>95</v>
      </c>
      <c r="D322" s="16" t="s">
        <v>89</v>
      </c>
      <c r="E322" s="21" t="s">
        <v>496</v>
      </c>
      <c r="F322" s="82" t="s">
        <v>211</v>
      </c>
      <c r="G322" s="98" t="s">
        <v>212</v>
      </c>
      <c r="H322" s="41">
        <v>200</v>
      </c>
      <c r="I322" s="41">
        <v>200</v>
      </c>
      <c r="J322" s="41">
        <v>200</v>
      </c>
    </row>
    <row r="323" spans="1:10" ht="25.5" x14ac:dyDescent="0.2">
      <c r="A323" s="1"/>
      <c r="B323" s="25"/>
      <c r="C323" s="16" t="s">
        <v>95</v>
      </c>
      <c r="D323" s="16" t="s">
        <v>89</v>
      </c>
      <c r="E323" s="21" t="s">
        <v>498</v>
      </c>
      <c r="F323" s="82"/>
      <c r="G323" s="98" t="s">
        <v>497</v>
      </c>
      <c r="H323" s="41">
        <f>SUM(H324:H325)</f>
        <v>1542.7</v>
      </c>
      <c r="I323" s="41">
        <f t="shared" ref="I323:J323" si="107">SUM(I324:I325)</f>
        <v>550</v>
      </c>
      <c r="J323" s="41">
        <f t="shared" si="107"/>
        <v>550</v>
      </c>
    </row>
    <row r="324" spans="1:10" ht="38.25" x14ac:dyDescent="0.2">
      <c r="A324" s="1"/>
      <c r="B324" s="25"/>
      <c r="C324" s="16" t="s">
        <v>95</v>
      </c>
      <c r="D324" s="16" t="s">
        <v>89</v>
      </c>
      <c r="E324" s="21" t="s">
        <v>498</v>
      </c>
      <c r="F324" s="82" t="s">
        <v>211</v>
      </c>
      <c r="G324" s="98" t="s">
        <v>212</v>
      </c>
      <c r="H324" s="41">
        <f>400+621.2</f>
        <v>1021.2</v>
      </c>
      <c r="I324" s="41">
        <v>550</v>
      </c>
      <c r="J324" s="41">
        <v>550</v>
      </c>
    </row>
    <row r="325" spans="1:10" x14ac:dyDescent="0.2">
      <c r="A325" s="1"/>
      <c r="B325" s="25"/>
      <c r="C325" s="16" t="s">
        <v>95</v>
      </c>
      <c r="D325" s="16" t="s">
        <v>89</v>
      </c>
      <c r="E325" s="21" t="s">
        <v>498</v>
      </c>
      <c r="F325" s="82" t="s">
        <v>248</v>
      </c>
      <c r="G325" s="99" t="s">
        <v>271</v>
      </c>
      <c r="H325" s="41">
        <v>521.5</v>
      </c>
      <c r="I325" s="41">
        <v>0</v>
      </c>
      <c r="J325" s="41">
        <v>0</v>
      </c>
    </row>
    <row r="326" spans="1:10" ht="41.25" customHeight="1" x14ac:dyDescent="0.2">
      <c r="A326" s="1"/>
      <c r="B326" s="25"/>
      <c r="C326" s="16" t="s">
        <v>95</v>
      </c>
      <c r="D326" s="16" t="s">
        <v>89</v>
      </c>
      <c r="E326" s="21" t="s">
        <v>500</v>
      </c>
      <c r="F326" s="82"/>
      <c r="G326" s="99" t="s">
        <v>711</v>
      </c>
      <c r="H326" s="41">
        <f>H327+H329</f>
        <v>33243.199999999997</v>
      </c>
      <c r="I326" s="41">
        <f t="shared" ref="I326:J326" si="108">I327+I329</f>
        <v>2100</v>
      </c>
      <c r="J326" s="41">
        <f t="shared" si="108"/>
        <v>2100</v>
      </c>
    </row>
    <row r="327" spans="1:10" ht="51" x14ac:dyDescent="0.2">
      <c r="A327" s="1"/>
      <c r="B327" s="25"/>
      <c r="C327" s="16" t="s">
        <v>95</v>
      </c>
      <c r="D327" s="16" t="s">
        <v>89</v>
      </c>
      <c r="E327" s="21" t="s">
        <v>499</v>
      </c>
      <c r="F327" s="16"/>
      <c r="G327" s="98" t="s">
        <v>579</v>
      </c>
      <c r="H327" s="41">
        <f t="shared" ref="H327:J327" si="109">H328</f>
        <v>0</v>
      </c>
      <c r="I327" s="41">
        <f t="shared" si="109"/>
        <v>2100</v>
      </c>
      <c r="J327" s="41">
        <f t="shared" si="109"/>
        <v>2100</v>
      </c>
    </row>
    <row r="328" spans="1:10" ht="38.25" x14ac:dyDescent="0.2">
      <c r="A328" s="1"/>
      <c r="B328" s="25"/>
      <c r="C328" s="16" t="s">
        <v>95</v>
      </c>
      <c r="D328" s="16" t="s">
        <v>89</v>
      </c>
      <c r="E328" s="21" t="s">
        <v>499</v>
      </c>
      <c r="F328" s="82" t="s">
        <v>211</v>
      </c>
      <c r="G328" s="98" t="s">
        <v>212</v>
      </c>
      <c r="H328" s="41">
        <f>3689.4-3689.4</f>
        <v>0</v>
      </c>
      <c r="I328" s="41">
        <v>2100</v>
      </c>
      <c r="J328" s="41">
        <v>2100</v>
      </c>
    </row>
    <row r="329" spans="1:10" ht="25.5" customHeight="1" x14ac:dyDescent="0.2">
      <c r="A329" s="1"/>
      <c r="B329" s="25"/>
      <c r="C329" s="16" t="s">
        <v>95</v>
      </c>
      <c r="D329" s="16" t="s">
        <v>89</v>
      </c>
      <c r="E329" s="21" t="s">
        <v>712</v>
      </c>
      <c r="F329" s="82"/>
      <c r="G329" s="98" t="s">
        <v>713</v>
      </c>
      <c r="H329" s="41">
        <f>H330</f>
        <v>33243.199999999997</v>
      </c>
      <c r="I329" s="41">
        <f t="shared" ref="I329:J329" si="110">I330</f>
        <v>0</v>
      </c>
      <c r="J329" s="41">
        <f t="shared" si="110"/>
        <v>0</v>
      </c>
    </row>
    <row r="330" spans="1:10" x14ac:dyDescent="0.2">
      <c r="A330" s="1"/>
      <c r="B330" s="25"/>
      <c r="C330" s="16" t="s">
        <v>95</v>
      </c>
      <c r="D330" s="16" t="s">
        <v>89</v>
      </c>
      <c r="E330" s="21" t="s">
        <v>712</v>
      </c>
      <c r="F330" s="82" t="s">
        <v>248</v>
      </c>
      <c r="G330" s="99" t="s">
        <v>271</v>
      </c>
      <c r="H330" s="41">
        <f>40000-6756.8</f>
        <v>33243.199999999997</v>
      </c>
      <c r="I330" s="41">
        <v>0</v>
      </c>
      <c r="J330" s="41">
        <v>0</v>
      </c>
    </row>
    <row r="331" spans="1:10" ht="38.25" x14ac:dyDescent="0.2">
      <c r="A331" s="1"/>
      <c r="B331" s="25"/>
      <c r="C331" s="16" t="s">
        <v>95</v>
      </c>
      <c r="D331" s="16" t="s">
        <v>89</v>
      </c>
      <c r="E331" s="52" t="s">
        <v>34</v>
      </c>
      <c r="F331" s="16"/>
      <c r="G331" s="46" t="s">
        <v>501</v>
      </c>
      <c r="H331" s="41">
        <f>H332+H335</f>
        <v>3218.7</v>
      </c>
      <c r="I331" s="41">
        <f>I332+I335</f>
        <v>4827.8</v>
      </c>
      <c r="J331" s="41">
        <f>J332+J335</f>
        <v>4945.2</v>
      </c>
    </row>
    <row r="332" spans="1:10" ht="51" x14ac:dyDescent="0.2">
      <c r="A332" s="1"/>
      <c r="B332" s="25"/>
      <c r="C332" s="16" t="s">
        <v>95</v>
      </c>
      <c r="D332" s="16" t="s">
        <v>89</v>
      </c>
      <c r="E332" s="21" t="s">
        <v>236</v>
      </c>
      <c r="F332" s="16"/>
      <c r="G332" s="99" t="s">
        <v>646</v>
      </c>
      <c r="H332" s="41">
        <f>H333</f>
        <v>1919.6999999999998</v>
      </c>
      <c r="I332" s="41">
        <f t="shared" ref="I332:J332" si="111">I333</f>
        <v>1700</v>
      </c>
      <c r="J332" s="41">
        <f t="shared" si="111"/>
        <v>1700</v>
      </c>
    </row>
    <row r="333" spans="1:10" ht="38.25" x14ac:dyDescent="0.2">
      <c r="A333" s="1"/>
      <c r="B333" s="25"/>
      <c r="C333" s="16" t="s">
        <v>95</v>
      </c>
      <c r="D333" s="16" t="s">
        <v>89</v>
      </c>
      <c r="E333" s="21" t="s">
        <v>503</v>
      </c>
      <c r="F333" s="16"/>
      <c r="G333" s="99" t="s">
        <v>502</v>
      </c>
      <c r="H333" s="41">
        <f>H334</f>
        <v>1919.6999999999998</v>
      </c>
      <c r="I333" s="41">
        <f t="shared" ref="I333:J333" si="112">I334</f>
        <v>1700</v>
      </c>
      <c r="J333" s="41">
        <f t="shared" si="112"/>
        <v>1700</v>
      </c>
    </row>
    <row r="334" spans="1:10" ht="38.25" x14ac:dyDescent="0.2">
      <c r="A334" s="1"/>
      <c r="B334" s="25"/>
      <c r="C334" s="16" t="s">
        <v>95</v>
      </c>
      <c r="D334" s="16" t="s">
        <v>89</v>
      </c>
      <c r="E334" s="21" t="s">
        <v>503</v>
      </c>
      <c r="F334" s="82" t="s">
        <v>211</v>
      </c>
      <c r="G334" s="98" t="s">
        <v>212</v>
      </c>
      <c r="H334" s="41">
        <f>1164+1050+239.1-533.4</f>
        <v>1919.6999999999998</v>
      </c>
      <c r="I334" s="41">
        <f>700+1000</f>
        <v>1700</v>
      </c>
      <c r="J334" s="41">
        <f>700+1000</f>
        <v>1700</v>
      </c>
    </row>
    <row r="335" spans="1:10" ht="25.5" x14ac:dyDescent="0.2">
      <c r="A335" s="1"/>
      <c r="B335" s="25"/>
      <c r="C335" s="16" t="s">
        <v>95</v>
      </c>
      <c r="D335" s="16" t="s">
        <v>89</v>
      </c>
      <c r="E335" s="21" t="s">
        <v>367</v>
      </c>
      <c r="F335" s="82"/>
      <c r="G335" s="99" t="s">
        <v>578</v>
      </c>
      <c r="H335" s="41">
        <f>H336</f>
        <v>1299</v>
      </c>
      <c r="I335" s="41">
        <f t="shared" ref="I335:J336" si="113">I336</f>
        <v>3127.8</v>
      </c>
      <c r="J335" s="41">
        <f t="shared" si="113"/>
        <v>3245.2</v>
      </c>
    </row>
    <row r="336" spans="1:10" ht="25.5" x14ac:dyDescent="0.2">
      <c r="A336" s="1"/>
      <c r="B336" s="25"/>
      <c r="C336" s="16" t="s">
        <v>95</v>
      </c>
      <c r="D336" s="16" t="s">
        <v>89</v>
      </c>
      <c r="E336" s="21" t="s">
        <v>504</v>
      </c>
      <c r="F336" s="16"/>
      <c r="G336" s="99" t="s">
        <v>369</v>
      </c>
      <c r="H336" s="41">
        <f>H337</f>
        <v>1299</v>
      </c>
      <c r="I336" s="41">
        <f t="shared" si="113"/>
        <v>3127.8</v>
      </c>
      <c r="J336" s="41">
        <f t="shared" si="113"/>
        <v>3245.2</v>
      </c>
    </row>
    <row r="337" spans="1:10" x14ac:dyDescent="0.2">
      <c r="A337" s="1"/>
      <c r="B337" s="25"/>
      <c r="C337" s="16" t="s">
        <v>95</v>
      </c>
      <c r="D337" s="16" t="s">
        <v>89</v>
      </c>
      <c r="E337" s="21" t="s">
        <v>504</v>
      </c>
      <c r="F337" s="82" t="s">
        <v>248</v>
      </c>
      <c r="G337" s="99" t="s">
        <v>271</v>
      </c>
      <c r="H337" s="41">
        <v>1299</v>
      </c>
      <c r="I337" s="41">
        <v>3127.8</v>
      </c>
      <c r="J337" s="41">
        <v>3245.2</v>
      </c>
    </row>
    <row r="338" spans="1:10" ht="38.25" x14ac:dyDescent="0.2">
      <c r="A338" s="1"/>
      <c r="B338" s="25"/>
      <c r="C338" s="16" t="s">
        <v>95</v>
      </c>
      <c r="D338" s="16" t="s">
        <v>89</v>
      </c>
      <c r="E338" s="82" t="s">
        <v>24</v>
      </c>
      <c r="F338" s="82"/>
      <c r="G338" s="99" t="s">
        <v>38</v>
      </c>
      <c r="H338" s="41">
        <f>H339</f>
        <v>120</v>
      </c>
      <c r="I338" s="41">
        <f t="shared" ref="I338:J338" si="114">I339</f>
        <v>0</v>
      </c>
      <c r="J338" s="41">
        <f t="shared" si="114"/>
        <v>0</v>
      </c>
    </row>
    <row r="339" spans="1:10" ht="51" x14ac:dyDescent="0.2">
      <c r="A339" s="1"/>
      <c r="B339" s="25"/>
      <c r="C339" s="16" t="s">
        <v>95</v>
      </c>
      <c r="D339" s="16" t="s">
        <v>89</v>
      </c>
      <c r="E339" s="82" t="s">
        <v>567</v>
      </c>
      <c r="F339" s="16"/>
      <c r="G339" s="54" t="s">
        <v>566</v>
      </c>
      <c r="H339" s="41">
        <f>SUM(H340:H340)</f>
        <v>120</v>
      </c>
      <c r="I339" s="41">
        <f>SUM(I340:I340)</f>
        <v>0</v>
      </c>
      <c r="J339" s="41">
        <f>SUM(J340:J340)</f>
        <v>0</v>
      </c>
    </row>
    <row r="340" spans="1:10" ht="38.25" x14ac:dyDescent="0.2">
      <c r="A340" s="1"/>
      <c r="B340" s="25"/>
      <c r="C340" s="16" t="s">
        <v>95</v>
      </c>
      <c r="D340" s="16" t="s">
        <v>89</v>
      </c>
      <c r="E340" s="82" t="s">
        <v>567</v>
      </c>
      <c r="F340" s="82" t="s">
        <v>211</v>
      </c>
      <c r="G340" s="98" t="s">
        <v>212</v>
      </c>
      <c r="H340" s="39">
        <v>120</v>
      </c>
      <c r="I340" s="39">
        <v>0</v>
      </c>
      <c r="J340" s="39">
        <v>0</v>
      </c>
    </row>
    <row r="341" spans="1:10" ht="14.25" x14ac:dyDescent="0.2">
      <c r="A341" s="1"/>
      <c r="B341" s="25"/>
      <c r="C341" s="30" t="s">
        <v>95</v>
      </c>
      <c r="D341" s="30" t="s">
        <v>93</v>
      </c>
      <c r="E341" s="30"/>
      <c r="F341" s="30"/>
      <c r="G341" s="27" t="s">
        <v>48</v>
      </c>
      <c r="H341" s="40">
        <f>H342+H349+H395+H407+H416</f>
        <v>254387.1</v>
      </c>
      <c r="I341" s="40">
        <f>I342+I349+I395+I407+I416</f>
        <v>31645.8</v>
      </c>
      <c r="J341" s="40">
        <f>J342+J349+J395+J407+J416</f>
        <v>31670.799999999999</v>
      </c>
    </row>
    <row r="342" spans="1:10" ht="89.25" x14ac:dyDescent="0.2">
      <c r="A342" s="1"/>
      <c r="B342" s="25"/>
      <c r="C342" s="82" t="s">
        <v>95</v>
      </c>
      <c r="D342" s="82" t="s">
        <v>93</v>
      </c>
      <c r="E342" s="78" t="s">
        <v>65</v>
      </c>
      <c r="F342" s="16"/>
      <c r="G342" s="63" t="s">
        <v>573</v>
      </c>
      <c r="H342" s="96">
        <f t="shared" ref="H342:J343" si="115">H343</f>
        <v>529.29999999999995</v>
      </c>
      <c r="I342" s="96">
        <f t="shared" si="115"/>
        <v>529.30000000000007</v>
      </c>
      <c r="J342" s="96">
        <f t="shared" si="115"/>
        <v>529.30000000000007</v>
      </c>
    </row>
    <row r="343" spans="1:10" ht="51" x14ac:dyDescent="0.2">
      <c r="A343" s="1"/>
      <c r="B343" s="25"/>
      <c r="C343" s="47" t="s">
        <v>95</v>
      </c>
      <c r="D343" s="47" t="s">
        <v>93</v>
      </c>
      <c r="E343" s="77" t="s">
        <v>66</v>
      </c>
      <c r="F343" s="16"/>
      <c r="G343" s="60" t="s">
        <v>491</v>
      </c>
      <c r="H343" s="93">
        <f t="shared" si="115"/>
        <v>529.29999999999995</v>
      </c>
      <c r="I343" s="93">
        <f t="shared" si="115"/>
        <v>529.30000000000007</v>
      </c>
      <c r="J343" s="93">
        <f t="shared" si="115"/>
        <v>529.30000000000007</v>
      </c>
    </row>
    <row r="344" spans="1:10" ht="63.75" x14ac:dyDescent="0.2">
      <c r="A344" s="1"/>
      <c r="B344" s="25"/>
      <c r="C344" s="82" t="s">
        <v>95</v>
      </c>
      <c r="D344" s="82" t="s">
        <v>93</v>
      </c>
      <c r="E344" s="74">
        <v>610100000</v>
      </c>
      <c r="F344" s="16"/>
      <c r="G344" s="98" t="s">
        <v>490</v>
      </c>
      <c r="H344" s="39">
        <f>H345+H347</f>
        <v>529.29999999999995</v>
      </c>
      <c r="I344" s="39">
        <f t="shared" ref="I344:J344" si="116">I345+I347</f>
        <v>529.30000000000007</v>
      </c>
      <c r="J344" s="39">
        <f t="shared" si="116"/>
        <v>529.30000000000007</v>
      </c>
    </row>
    <row r="345" spans="1:10" ht="38.25" x14ac:dyDescent="0.2">
      <c r="A345" s="1"/>
      <c r="B345" s="25"/>
      <c r="C345" s="82" t="s">
        <v>95</v>
      </c>
      <c r="D345" s="82" t="s">
        <v>93</v>
      </c>
      <c r="E345" s="137" t="s">
        <v>489</v>
      </c>
      <c r="F345" s="16"/>
      <c r="G345" s="98" t="s">
        <v>599</v>
      </c>
      <c r="H345" s="41">
        <f t="shared" ref="H345" si="117">H346</f>
        <v>521.4</v>
      </c>
      <c r="I345" s="41">
        <f t="shared" ref="I345:J345" si="118">I346</f>
        <v>522.1</v>
      </c>
      <c r="J345" s="41">
        <f t="shared" si="118"/>
        <v>522.1</v>
      </c>
    </row>
    <row r="346" spans="1:10" ht="38.25" x14ac:dyDescent="0.2">
      <c r="A346" s="1"/>
      <c r="B346" s="25"/>
      <c r="C346" s="82" t="s">
        <v>95</v>
      </c>
      <c r="D346" s="82" t="s">
        <v>93</v>
      </c>
      <c r="E346" s="137" t="s">
        <v>489</v>
      </c>
      <c r="F346" s="82" t="s">
        <v>211</v>
      </c>
      <c r="G346" s="98" t="s">
        <v>212</v>
      </c>
      <c r="H346" s="41">
        <f>522.1-0.7</f>
        <v>521.4</v>
      </c>
      <c r="I346" s="41">
        <v>522.1</v>
      </c>
      <c r="J346" s="41">
        <v>522.1</v>
      </c>
    </row>
    <row r="347" spans="1:10" ht="38.25" x14ac:dyDescent="0.2">
      <c r="A347" s="1"/>
      <c r="B347" s="25"/>
      <c r="C347" s="82" t="s">
        <v>95</v>
      </c>
      <c r="D347" s="82" t="s">
        <v>93</v>
      </c>
      <c r="E347" s="137" t="s">
        <v>542</v>
      </c>
      <c r="F347" s="82"/>
      <c r="G347" s="98" t="s">
        <v>543</v>
      </c>
      <c r="H347" s="41">
        <f>H348</f>
        <v>7.9</v>
      </c>
      <c r="I347" s="41">
        <f t="shared" ref="I347:J347" si="119">I348</f>
        <v>7.2</v>
      </c>
      <c r="J347" s="41">
        <f t="shared" si="119"/>
        <v>7.2</v>
      </c>
    </row>
    <row r="348" spans="1:10" ht="38.25" x14ac:dyDescent="0.2">
      <c r="A348" s="1"/>
      <c r="B348" s="25"/>
      <c r="C348" s="82" t="s">
        <v>95</v>
      </c>
      <c r="D348" s="82" t="s">
        <v>93</v>
      </c>
      <c r="E348" s="137" t="s">
        <v>542</v>
      </c>
      <c r="F348" s="82" t="s">
        <v>211</v>
      </c>
      <c r="G348" s="98" t="s">
        <v>212</v>
      </c>
      <c r="H348" s="41">
        <f>7.2+0.7</f>
        <v>7.9</v>
      </c>
      <c r="I348" s="41">
        <v>7.2</v>
      </c>
      <c r="J348" s="41">
        <v>7.2</v>
      </c>
    </row>
    <row r="349" spans="1:10" ht="89.25" x14ac:dyDescent="0.2">
      <c r="A349" s="1"/>
      <c r="B349" s="25"/>
      <c r="C349" s="5" t="s">
        <v>95</v>
      </c>
      <c r="D349" s="5" t="s">
        <v>93</v>
      </c>
      <c r="E349" s="73" t="s">
        <v>55</v>
      </c>
      <c r="F349" s="16"/>
      <c r="G349" s="53" t="s">
        <v>584</v>
      </c>
      <c r="H349" s="96">
        <f>H350+H372+H379+H387</f>
        <v>107237.4</v>
      </c>
      <c r="I349" s="96">
        <f>I350+I372+I379+I387</f>
        <v>30816.5</v>
      </c>
      <c r="J349" s="96">
        <f>J350+J372+J379+J387</f>
        <v>30841.5</v>
      </c>
    </row>
    <row r="350" spans="1:10" ht="51" x14ac:dyDescent="0.2">
      <c r="A350" s="1"/>
      <c r="B350" s="25"/>
      <c r="C350" s="82" t="s">
        <v>95</v>
      </c>
      <c r="D350" s="82" t="s">
        <v>93</v>
      </c>
      <c r="E350" s="52" t="s">
        <v>56</v>
      </c>
      <c r="F350" s="47"/>
      <c r="G350" s="48" t="s">
        <v>649</v>
      </c>
      <c r="H350" s="93">
        <f>H351+H362+H367</f>
        <v>84776.8</v>
      </c>
      <c r="I350" s="93">
        <f t="shared" ref="I350:J350" si="120">I351+I362+I367</f>
        <v>20727</v>
      </c>
      <c r="J350" s="93">
        <f t="shared" si="120"/>
        <v>15527</v>
      </c>
    </row>
    <row r="351" spans="1:10" ht="38.25" x14ac:dyDescent="0.2">
      <c r="A351" s="1"/>
      <c r="B351" s="25"/>
      <c r="C351" s="16" t="s">
        <v>95</v>
      </c>
      <c r="D351" s="82" t="s">
        <v>93</v>
      </c>
      <c r="E351" s="21" t="s">
        <v>237</v>
      </c>
      <c r="F351" s="47"/>
      <c r="G351" s="99" t="s">
        <v>607</v>
      </c>
      <c r="H351" s="93">
        <f>H352+H354+H356+H358+H360</f>
        <v>23856.6</v>
      </c>
      <c r="I351" s="93">
        <f t="shared" ref="I351:J351" si="121">I352+I354+I358+I360</f>
        <v>14144.9</v>
      </c>
      <c r="J351" s="93">
        <f t="shared" si="121"/>
        <v>8944.9</v>
      </c>
    </row>
    <row r="352" spans="1:10" ht="38.25" x14ac:dyDescent="0.2">
      <c r="A352" s="1"/>
      <c r="B352" s="25"/>
      <c r="C352" s="16" t="s">
        <v>95</v>
      </c>
      <c r="D352" s="82" t="s">
        <v>93</v>
      </c>
      <c r="E352" s="74">
        <v>1210123505</v>
      </c>
      <c r="F352" s="21"/>
      <c r="G352" s="98" t="s">
        <v>517</v>
      </c>
      <c r="H352" s="41">
        <f>H353</f>
        <v>2608.8999999999996</v>
      </c>
      <c r="I352" s="41">
        <f>I353</f>
        <v>0</v>
      </c>
      <c r="J352" s="41">
        <f>J353</f>
        <v>0</v>
      </c>
    </row>
    <row r="353" spans="1:10" ht="38.25" x14ac:dyDescent="0.2">
      <c r="A353" s="1"/>
      <c r="B353" s="25"/>
      <c r="C353" s="82" t="s">
        <v>95</v>
      </c>
      <c r="D353" s="82" t="s">
        <v>93</v>
      </c>
      <c r="E353" s="74">
        <v>1210123505</v>
      </c>
      <c r="F353" s="82" t="s">
        <v>211</v>
      </c>
      <c r="G353" s="98" t="s">
        <v>212</v>
      </c>
      <c r="H353" s="39">
        <f>1266.2-65.9+22.4+1233+153.2</f>
        <v>2608.8999999999996</v>
      </c>
      <c r="I353" s="39">
        <v>0</v>
      </c>
      <c r="J353" s="39">
        <v>0</v>
      </c>
    </row>
    <row r="354" spans="1:10" ht="63.75" x14ac:dyDescent="0.2">
      <c r="A354" s="1"/>
      <c r="B354" s="25"/>
      <c r="C354" s="16" t="s">
        <v>95</v>
      </c>
      <c r="D354" s="82" t="s">
        <v>93</v>
      </c>
      <c r="E354" s="74">
        <v>1210123510</v>
      </c>
      <c r="F354" s="21"/>
      <c r="G354" s="98" t="s">
        <v>748</v>
      </c>
      <c r="H354" s="41">
        <f>H355</f>
        <v>574.70000000000005</v>
      </c>
      <c r="I354" s="41">
        <f t="shared" ref="I354:J354" si="122">I355</f>
        <v>0</v>
      </c>
      <c r="J354" s="41">
        <f t="shared" si="122"/>
        <v>0</v>
      </c>
    </row>
    <row r="355" spans="1:10" ht="38.25" x14ac:dyDescent="0.2">
      <c r="A355" s="1"/>
      <c r="B355" s="25"/>
      <c r="C355" s="82" t="s">
        <v>95</v>
      </c>
      <c r="D355" s="82" t="s">
        <v>93</v>
      </c>
      <c r="E355" s="74">
        <v>1210123510</v>
      </c>
      <c r="F355" s="82" t="s">
        <v>211</v>
      </c>
      <c r="G355" s="98" t="s">
        <v>212</v>
      </c>
      <c r="H355" s="41">
        <v>574.70000000000005</v>
      </c>
      <c r="I355" s="41">
        <v>0</v>
      </c>
      <c r="J355" s="41">
        <v>0</v>
      </c>
    </row>
    <row r="356" spans="1:10" ht="25.5" x14ac:dyDescent="0.2">
      <c r="A356" s="1"/>
      <c r="B356" s="25"/>
      <c r="C356" s="82" t="s">
        <v>95</v>
      </c>
      <c r="D356" s="82" t="s">
        <v>93</v>
      </c>
      <c r="E356" s="74">
        <v>1210123515</v>
      </c>
      <c r="F356" s="16"/>
      <c r="G356" s="98" t="s">
        <v>767</v>
      </c>
      <c r="H356" s="41">
        <f>H357</f>
        <v>400</v>
      </c>
      <c r="I356" s="41">
        <f t="shared" ref="I356" si="123">I357</f>
        <v>0</v>
      </c>
      <c r="J356" s="41">
        <f t="shared" ref="J356" si="124">J357</f>
        <v>0</v>
      </c>
    </row>
    <row r="357" spans="1:10" ht="38.25" x14ac:dyDescent="0.2">
      <c r="A357" s="1"/>
      <c r="B357" s="25"/>
      <c r="C357" s="82" t="s">
        <v>95</v>
      </c>
      <c r="D357" s="82" t="s">
        <v>93</v>
      </c>
      <c r="E357" s="74">
        <v>1210123515</v>
      </c>
      <c r="F357" s="82" t="s">
        <v>211</v>
      </c>
      <c r="G357" s="98" t="s">
        <v>212</v>
      </c>
      <c r="H357" s="41">
        <v>400</v>
      </c>
      <c r="I357" s="41">
        <v>0</v>
      </c>
      <c r="J357" s="41">
        <v>0</v>
      </c>
    </row>
    <row r="358" spans="1:10" ht="63.75" customHeight="1" x14ac:dyDescent="0.2">
      <c r="A358" s="1"/>
      <c r="B358" s="25"/>
      <c r="C358" s="82" t="s">
        <v>95</v>
      </c>
      <c r="D358" s="82" t="s">
        <v>93</v>
      </c>
      <c r="E358" s="74">
        <v>1210121100</v>
      </c>
      <c r="F358" s="21"/>
      <c r="G358" s="98" t="s">
        <v>673</v>
      </c>
      <c r="H358" s="41">
        <f>SUM(H359:H359)</f>
        <v>17226</v>
      </c>
      <c r="I358" s="41">
        <f>SUM(I359:I359)</f>
        <v>14144.9</v>
      </c>
      <c r="J358" s="41">
        <f>SUM(J359:J359)</f>
        <v>8944.9</v>
      </c>
    </row>
    <row r="359" spans="1:10" x14ac:dyDescent="0.2">
      <c r="A359" s="1"/>
      <c r="B359" s="25"/>
      <c r="C359" s="16" t="s">
        <v>95</v>
      </c>
      <c r="D359" s="82" t="s">
        <v>93</v>
      </c>
      <c r="E359" s="74">
        <v>1210121100</v>
      </c>
      <c r="F359" s="21" t="s">
        <v>225</v>
      </c>
      <c r="G359" s="98" t="s">
        <v>224</v>
      </c>
      <c r="H359" s="41">
        <v>17226</v>
      </c>
      <c r="I359" s="41">
        <f>14210.8-65.9</f>
        <v>14144.9</v>
      </c>
      <c r="J359" s="41">
        <f>9010.8-65.9</f>
        <v>8944.9</v>
      </c>
    </row>
    <row r="360" spans="1:10" ht="38.25" x14ac:dyDescent="0.2">
      <c r="A360" s="1"/>
      <c r="B360" s="25"/>
      <c r="C360" s="16" t="s">
        <v>95</v>
      </c>
      <c r="D360" s="82" t="s">
        <v>93</v>
      </c>
      <c r="E360" s="74">
        <v>1210121800</v>
      </c>
      <c r="F360" s="16"/>
      <c r="G360" s="98" t="s">
        <v>718</v>
      </c>
      <c r="H360" s="41">
        <f>H361</f>
        <v>3047</v>
      </c>
      <c r="I360" s="41">
        <f>I361</f>
        <v>0</v>
      </c>
      <c r="J360" s="41">
        <f>J361</f>
        <v>0</v>
      </c>
    </row>
    <row r="361" spans="1:10" x14ac:dyDescent="0.2">
      <c r="A361" s="1"/>
      <c r="B361" s="25"/>
      <c r="C361" s="82" t="s">
        <v>95</v>
      </c>
      <c r="D361" s="82" t="s">
        <v>93</v>
      </c>
      <c r="E361" s="74">
        <v>1210121800</v>
      </c>
      <c r="F361" s="21" t="s">
        <v>225</v>
      </c>
      <c r="G361" s="98" t="s">
        <v>224</v>
      </c>
      <c r="H361" s="41">
        <f>547+2500</f>
        <v>3047</v>
      </c>
      <c r="I361" s="41">
        <v>0</v>
      </c>
      <c r="J361" s="41">
        <v>0</v>
      </c>
    </row>
    <row r="362" spans="1:10" ht="23.25" customHeight="1" x14ac:dyDescent="0.2">
      <c r="A362" s="1"/>
      <c r="B362" s="25"/>
      <c r="C362" s="82" t="s">
        <v>95</v>
      </c>
      <c r="D362" s="82" t="s">
        <v>93</v>
      </c>
      <c r="E362" s="21" t="s">
        <v>289</v>
      </c>
      <c r="F362" s="82"/>
      <c r="G362" s="99" t="s">
        <v>290</v>
      </c>
      <c r="H362" s="41">
        <f>H363+H365</f>
        <v>6582.0999999999995</v>
      </c>
      <c r="I362" s="41">
        <f t="shared" ref="I362:J362" si="125">I363+I365</f>
        <v>6582.0999999999995</v>
      </c>
      <c r="J362" s="41">
        <f t="shared" si="125"/>
        <v>6582.0999999999995</v>
      </c>
    </row>
    <row r="363" spans="1:10" ht="39.75" customHeight="1" x14ac:dyDescent="0.2">
      <c r="A363" s="1"/>
      <c r="B363" s="25"/>
      <c r="C363" s="47" t="s">
        <v>95</v>
      </c>
      <c r="D363" s="47" t="s">
        <v>93</v>
      </c>
      <c r="E363" s="74">
        <v>1210211450</v>
      </c>
      <c r="F363" s="16"/>
      <c r="G363" s="98" t="s">
        <v>674</v>
      </c>
      <c r="H363" s="41">
        <f>H364</f>
        <v>6516.2</v>
      </c>
      <c r="I363" s="41">
        <f>I364</f>
        <v>6516.2</v>
      </c>
      <c r="J363" s="41">
        <f>J364</f>
        <v>6516.2</v>
      </c>
    </row>
    <row r="364" spans="1:10" ht="38.25" x14ac:dyDescent="0.2">
      <c r="A364" s="1"/>
      <c r="B364" s="25"/>
      <c r="C364" s="16" t="s">
        <v>95</v>
      </c>
      <c r="D364" s="82" t="s">
        <v>93</v>
      </c>
      <c r="E364" s="74">
        <v>1210211450</v>
      </c>
      <c r="F364" s="82" t="s">
        <v>211</v>
      </c>
      <c r="G364" s="98" t="s">
        <v>212</v>
      </c>
      <c r="H364" s="39">
        <v>6516.2</v>
      </c>
      <c r="I364" s="39">
        <v>6516.2</v>
      </c>
      <c r="J364" s="39">
        <v>6516.2</v>
      </c>
    </row>
    <row r="365" spans="1:10" ht="38.25" x14ac:dyDescent="0.2">
      <c r="A365" s="1"/>
      <c r="B365" s="25"/>
      <c r="C365" s="16" t="s">
        <v>95</v>
      </c>
      <c r="D365" s="82" t="s">
        <v>93</v>
      </c>
      <c r="E365" s="74" t="s">
        <v>680</v>
      </c>
      <c r="F365" s="21"/>
      <c r="G365" s="98" t="s">
        <v>674</v>
      </c>
      <c r="H365" s="39">
        <f>H366</f>
        <v>65.900000000000006</v>
      </c>
      <c r="I365" s="39">
        <f t="shared" ref="I365:J365" si="126">I366</f>
        <v>65.900000000000006</v>
      </c>
      <c r="J365" s="39">
        <f t="shared" si="126"/>
        <v>65.900000000000006</v>
      </c>
    </row>
    <row r="366" spans="1:10" ht="38.25" x14ac:dyDescent="0.2">
      <c r="A366" s="1"/>
      <c r="B366" s="25"/>
      <c r="C366" s="82" t="s">
        <v>95</v>
      </c>
      <c r="D366" s="82" t="s">
        <v>93</v>
      </c>
      <c r="E366" s="74" t="s">
        <v>680</v>
      </c>
      <c r="F366" s="82" t="s">
        <v>211</v>
      </c>
      <c r="G366" s="98" t="s">
        <v>212</v>
      </c>
      <c r="H366" s="39">
        <v>65.900000000000006</v>
      </c>
      <c r="I366" s="39">
        <v>65.900000000000006</v>
      </c>
      <c r="J366" s="39">
        <v>65.900000000000006</v>
      </c>
    </row>
    <row r="367" spans="1:10" ht="25.5" x14ac:dyDescent="0.2">
      <c r="A367" s="1"/>
      <c r="B367" s="25"/>
      <c r="C367" s="16" t="s">
        <v>95</v>
      </c>
      <c r="D367" s="82" t="s">
        <v>93</v>
      </c>
      <c r="E367" s="21" t="s">
        <v>772</v>
      </c>
      <c r="F367" s="82"/>
      <c r="G367" s="177" t="s">
        <v>773</v>
      </c>
      <c r="H367" s="39">
        <f>H368+H370</f>
        <v>54338.100000000006</v>
      </c>
      <c r="I367" s="39">
        <f t="shared" ref="I367:J367" si="127">I368+I370</f>
        <v>0</v>
      </c>
      <c r="J367" s="39">
        <f t="shared" si="127"/>
        <v>0</v>
      </c>
    </row>
    <row r="368" spans="1:10" ht="25.5" x14ac:dyDescent="0.2">
      <c r="A368" s="1"/>
      <c r="B368" s="25"/>
      <c r="C368" s="16" t="s">
        <v>95</v>
      </c>
      <c r="D368" s="82" t="s">
        <v>93</v>
      </c>
      <c r="E368" s="21" t="s">
        <v>774</v>
      </c>
      <c r="F368" s="82"/>
      <c r="G368" s="98" t="s">
        <v>775</v>
      </c>
      <c r="H368" s="39">
        <f>H369</f>
        <v>28181.4</v>
      </c>
      <c r="I368" s="39">
        <f t="shared" ref="I368:J368" si="128">I369</f>
        <v>0</v>
      </c>
      <c r="J368" s="39">
        <f t="shared" si="128"/>
        <v>0</v>
      </c>
    </row>
    <row r="369" spans="1:10" ht="38.25" x14ac:dyDescent="0.2">
      <c r="A369" s="1"/>
      <c r="B369" s="25"/>
      <c r="C369" s="82" t="s">
        <v>95</v>
      </c>
      <c r="D369" s="82" t="s">
        <v>93</v>
      </c>
      <c r="E369" s="21" t="s">
        <v>774</v>
      </c>
      <c r="F369" s="82" t="s">
        <v>211</v>
      </c>
      <c r="G369" s="98" t="s">
        <v>212</v>
      </c>
      <c r="H369" s="39">
        <v>28181.4</v>
      </c>
      <c r="I369" s="39">
        <v>0</v>
      </c>
      <c r="J369" s="39">
        <v>0</v>
      </c>
    </row>
    <row r="370" spans="1:10" ht="25.5" x14ac:dyDescent="0.2">
      <c r="A370" s="1"/>
      <c r="B370" s="25"/>
      <c r="C370" s="16" t="s">
        <v>95</v>
      </c>
      <c r="D370" s="82" t="s">
        <v>93</v>
      </c>
      <c r="E370" s="21" t="s">
        <v>776</v>
      </c>
      <c r="F370" s="82"/>
      <c r="G370" s="98" t="s">
        <v>775</v>
      </c>
      <c r="H370" s="39">
        <f>H371</f>
        <v>26156.7</v>
      </c>
      <c r="I370" s="39">
        <f t="shared" ref="I370:J370" si="129">I371</f>
        <v>0</v>
      </c>
      <c r="J370" s="39">
        <f t="shared" si="129"/>
        <v>0</v>
      </c>
    </row>
    <row r="371" spans="1:10" ht="38.25" x14ac:dyDescent="0.2">
      <c r="A371" s="1"/>
      <c r="B371" s="25"/>
      <c r="C371" s="82" t="s">
        <v>95</v>
      </c>
      <c r="D371" s="82" t="s">
        <v>93</v>
      </c>
      <c r="E371" s="21" t="s">
        <v>776</v>
      </c>
      <c r="F371" s="82" t="s">
        <v>211</v>
      </c>
      <c r="G371" s="98" t="s">
        <v>212</v>
      </c>
      <c r="H371" s="39">
        <v>26156.7</v>
      </c>
      <c r="I371" s="39">
        <v>0</v>
      </c>
      <c r="J371" s="39">
        <v>0</v>
      </c>
    </row>
    <row r="372" spans="1:10" ht="25.5" x14ac:dyDescent="0.2">
      <c r="A372" s="1"/>
      <c r="B372" s="25"/>
      <c r="C372" s="82" t="s">
        <v>95</v>
      </c>
      <c r="D372" s="82" t="s">
        <v>93</v>
      </c>
      <c r="E372" s="52" t="s">
        <v>57</v>
      </c>
      <c r="F372" s="47"/>
      <c r="G372" s="48" t="s">
        <v>25</v>
      </c>
      <c r="H372" s="93">
        <f>H373+H377</f>
        <v>2678.2</v>
      </c>
      <c r="I372" s="93">
        <f t="shared" ref="I372:J372" si="130">I373+I377</f>
        <v>1325</v>
      </c>
      <c r="J372" s="93">
        <f t="shared" si="130"/>
        <v>850</v>
      </c>
    </row>
    <row r="373" spans="1:10" ht="15" customHeight="1" x14ac:dyDescent="0.2">
      <c r="A373" s="1"/>
      <c r="B373" s="25"/>
      <c r="C373" s="82" t="s">
        <v>95</v>
      </c>
      <c r="D373" s="82" t="s">
        <v>93</v>
      </c>
      <c r="E373" s="21" t="s">
        <v>238</v>
      </c>
      <c r="F373" s="47"/>
      <c r="G373" s="99" t="s">
        <v>239</v>
      </c>
      <c r="H373" s="39">
        <f t="shared" ref="H373:J374" si="131">H374</f>
        <v>2678.2</v>
      </c>
      <c r="I373" s="39">
        <f t="shared" si="131"/>
        <v>850</v>
      </c>
      <c r="J373" s="39">
        <f t="shared" si="131"/>
        <v>850</v>
      </c>
    </row>
    <row r="374" spans="1:10" ht="27" customHeight="1" x14ac:dyDescent="0.2">
      <c r="A374" s="1"/>
      <c r="B374" s="25"/>
      <c r="C374" s="82" t="s">
        <v>95</v>
      </c>
      <c r="D374" s="82" t="s">
        <v>93</v>
      </c>
      <c r="E374" s="79">
        <v>1220123525</v>
      </c>
      <c r="F374" s="16"/>
      <c r="G374" s="98" t="s">
        <v>190</v>
      </c>
      <c r="H374" s="41">
        <f t="shared" si="131"/>
        <v>2678.2</v>
      </c>
      <c r="I374" s="41">
        <f t="shared" si="131"/>
        <v>850</v>
      </c>
      <c r="J374" s="41">
        <f t="shared" si="131"/>
        <v>850</v>
      </c>
    </row>
    <row r="375" spans="1:10" ht="38.25" x14ac:dyDescent="0.2">
      <c r="A375" s="1"/>
      <c r="B375" s="25"/>
      <c r="C375" s="82" t="s">
        <v>95</v>
      </c>
      <c r="D375" s="82" t="s">
        <v>93</v>
      </c>
      <c r="E375" s="79">
        <v>1220123525</v>
      </c>
      <c r="F375" s="82" t="s">
        <v>211</v>
      </c>
      <c r="G375" s="98" t="s">
        <v>212</v>
      </c>
      <c r="H375" s="41">
        <v>2678.2</v>
      </c>
      <c r="I375" s="41">
        <v>850</v>
      </c>
      <c r="J375" s="41">
        <v>850</v>
      </c>
    </row>
    <row r="376" spans="1:10" ht="38.25" x14ac:dyDescent="0.2">
      <c r="A376" s="1"/>
      <c r="B376" s="25"/>
      <c r="C376" s="82" t="s">
        <v>95</v>
      </c>
      <c r="D376" s="82" t="s">
        <v>93</v>
      </c>
      <c r="E376" s="21" t="s">
        <v>519</v>
      </c>
      <c r="F376" s="82"/>
      <c r="G376" s="99" t="s">
        <v>518</v>
      </c>
      <c r="H376" s="41">
        <f>H377</f>
        <v>0</v>
      </c>
      <c r="I376" s="41">
        <f t="shared" ref="I376:J376" si="132">I377</f>
        <v>475</v>
      </c>
      <c r="J376" s="41">
        <f t="shared" si="132"/>
        <v>0</v>
      </c>
    </row>
    <row r="377" spans="1:10" ht="25.5" x14ac:dyDescent="0.2">
      <c r="A377" s="1"/>
      <c r="B377" s="25"/>
      <c r="C377" s="82" t="s">
        <v>95</v>
      </c>
      <c r="D377" s="82" t="s">
        <v>93</v>
      </c>
      <c r="E377" s="79">
        <v>1220223530</v>
      </c>
      <c r="F377" s="16"/>
      <c r="G377" s="98" t="s">
        <v>191</v>
      </c>
      <c r="H377" s="41">
        <f>H378</f>
        <v>0</v>
      </c>
      <c r="I377" s="41">
        <f>I378</f>
        <v>475</v>
      </c>
      <c r="J377" s="41">
        <f>J378</f>
        <v>0</v>
      </c>
    </row>
    <row r="378" spans="1:10" ht="38.25" x14ac:dyDescent="0.2">
      <c r="A378" s="1"/>
      <c r="B378" s="25"/>
      <c r="C378" s="82" t="s">
        <v>95</v>
      </c>
      <c r="D378" s="82" t="s">
        <v>93</v>
      </c>
      <c r="E378" s="79">
        <v>1220223530</v>
      </c>
      <c r="F378" s="82" t="s">
        <v>211</v>
      </c>
      <c r="G378" s="98" t="s">
        <v>212</v>
      </c>
      <c r="H378" s="39">
        <v>0</v>
      </c>
      <c r="I378" s="39">
        <v>475</v>
      </c>
      <c r="J378" s="39">
        <v>0</v>
      </c>
    </row>
    <row r="379" spans="1:10" ht="38.25" x14ac:dyDescent="0.2">
      <c r="A379" s="1"/>
      <c r="B379" s="25"/>
      <c r="C379" s="82" t="s">
        <v>95</v>
      </c>
      <c r="D379" s="82" t="s">
        <v>93</v>
      </c>
      <c r="E379" s="52" t="s">
        <v>58</v>
      </c>
      <c r="F379" s="47"/>
      <c r="G379" s="48" t="s">
        <v>608</v>
      </c>
      <c r="H379" s="93">
        <f>H380</f>
        <v>1755.5</v>
      </c>
      <c r="I379" s="93">
        <f t="shared" ref="I379:J379" si="133">I380</f>
        <v>107</v>
      </c>
      <c r="J379" s="93">
        <f t="shared" si="133"/>
        <v>107</v>
      </c>
    </row>
    <row r="380" spans="1:10" ht="51" x14ac:dyDescent="0.2">
      <c r="A380" s="1"/>
      <c r="B380" s="25"/>
      <c r="C380" s="82" t="s">
        <v>95</v>
      </c>
      <c r="D380" s="82" t="s">
        <v>93</v>
      </c>
      <c r="E380" s="21" t="s">
        <v>240</v>
      </c>
      <c r="F380" s="47"/>
      <c r="G380" s="99" t="s">
        <v>241</v>
      </c>
      <c r="H380" s="39">
        <f>H381+H383+H385</f>
        <v>1755.5</v>
      </c>
      <c r="I380" s="39">
        <f t="shared" ref="I380:J380" si="134">I381+I383+I385</f>
        <v>107</v>
      </c>
      <c r="J380" s="39">
        <f t="shared" si="134"/>
        <v>107</v>
      </c>
    </row>
    <row r="381" spans="1:10" ht="25.5" x14ac:dyDescent="0.2">
      <c r="A381" s="1"/>
      <c r="B381" s="25"/>
      <c r="C381" s="82" t="s">
        <v>95</v>
      </c>
      <c r="D381" s="82" t="s">
        <v>93</v>
      </c>
      <c r="E381" s="21" t="s">
        <v>703</v>
      </c>
      <c r="F381" s="16"/>
      <c r="G381" s="98" t="s">
        <v>704</v>
      </c>
      <c r="H381" s="41">
        <f>H382</f>
        <v>282.8</v>
      </c>
      <c r="I381" s="41">
        <f t="shared" ref="I381:J381" si="135">I382</f>
        <v>0</v>
      </c>
      <c r="J381" s="41">
        <f t="shared" si="135"/>
        <v>0</v>
      </c>
    </row>
    <row r="382" spans="1:10" ht="38.25" x14ac:dyDescent="0.2">
      <c r="A382" s="1"/>
      <c r="B382" s="25"/>
      <c r="C382" s="82" t="s">
        <v>95</v>
      </c>
      <c r="D382" s="82" t="s">
        <v>93</v>
      </c>
      <c r="E382" s="21" t="s">
        <v>703</v>
      </c>
      <c r="F382" s="82" t="s">
        <v>211</v>
      </c>
      <c r="G382" s="98" t="s">
        <v>212</v>
      </c>
      <c r="H382" s="41">
        <v>282.8</v>
      </c>
      <c r="I382" s="39">
        <v>0</v>
      </c>
      <c r="J382" s="39">
        <v>0</v>
      </c>
    </row>
    <row r="383" spans="1:10" ht="25.5" x14ac:dyDescent="0.2">
      <c r="A383" s="1"/>
      <c r="B383" s="25"/>
      <c r="C383" s="82" t="s">
        <v>95</v>
      </c>
      <c r="D383" s="82" t="s">
        <v>93</v>
      </c>
      <c r="E383" s="21" t="s">
        <v>520</v>
      </c>
      <c r="F383" s="16"/>
      <c r="G383" s="98" t="s">
        <v>23</v>
      </c>
      <c r="H383" s="41">
        <f>H384</f>
        <v>1309.7</v>
      </c>
      <c r="I383" s="41">
        <f>I384</f>
        <v>100</v>
      </c>
      <c r="J383" s="41">
        <f>J384</f>
        <v>100</v>
      </c>
    </row>
    <row r="384" spans="1:10" ht="38.25" x14ac:dyDescent="0.2">
      <c r="A384" s="1"/>
      <c r="B384" s="25"/>
      <c r="C384" s="82" t="s">
        <v>95</v>
      </c>
      <c r="D384" s="82" t="s">
        <v>93</v>
      </c>
      <c r="E384" s="21" t="s">
        <v>520</v>
      </c>
      <c r="F384" s="82" t="s">
        <v>211</v>
      </c>
      <c r="G384" s="98" t="s">
        <v>212</v>
      </c>
      <c r="H384" s="41">
        <f>2062.9-153.2-600</f>
        <v>1309.7</v>
      </c>
      <c r="I384" s="41">
        <v>100</v>
      </c>
      <c r="J384" s="41">
        <v>100</v>
      </c>
    </row>
    <row r="385" spans="1:10" ht="25.5" x14ac:dyDescent="0.2">
      <c r="A385" s="1"/>
      <c r="B385" s="25"/>
      <c r="C385" s="82" t="s">
        <v>95</v>
      </c>
      <c r="D385" s="82" t="s">
        <v>93</v>
      </c>
      <c r="E385" s="21" t="s">
        <v>521</v>
      </c>
      <c r="F385" s="16"/>
      <c r="G385" s="98" t="s">
        <v>192</v>
      </c>
      <c r="H385" s="41">
        <f>H386</f>
        <v>163</v>
      </c>
      <c r="I385" s="41">
        <f>I386</f>
        <v>7</v>
      </c>
      <c r="J385" s="41">
        <f>J386</f>
        <v>7</v>
      </c>
    </row>
    <row r="386" spans="1:10" ht="38.25" x14ac:dyDescent="0.2">
      <c r="A386" s="1"/>
      <c r="B386" s="25"/>
      <c r="C386" s="82" t="s">
        <v>95</v>
      </c>
      <c r="D386" s="82" t="s">
        <v>93</v>
      </c>
      <c r="E386" s="21" t="s">
        <v>521</v>
      </c>
      <c r="F386" s="82" t="s">
        <v>211</v>
      </c>
      <c r="G386" s="98" t="s">
        <v>212</v>
      </c>
      <c r="H386" s="41">
        <v>163</v>
      </c>
      <c r="I386" s="41">
        <v>7</v>
      </c>
      <c r="J386" s="41">
        <v>7</v>
      </c>
    </row>
    <row r="387" spans="1:10" ht="51" x14ac:dyDescent="0.2">
      <c r="A387" s="1"/>
      <c r="B387" s="25"/>
      <c r="C387" s="82" t="s">
        <v>95</v>
      </c>
      <c r="D387" s="82" t="s">
        <v>93</v>
      </c>
      <c r="E387" s="52" t="s">
        <v>522</v>
      </c>
      <c r="F387" s="16"/>
      <c r="G387" s="60" t="s">
        <v>523</v>
      </c>
      <c r="H387" s="41">
        <f>H388</f>
        <v>18026.900000000001</v>
      </c>
      <c r="I387" s="41">
        <f t="shared" ref="I387:J387" si="136">I388</f>
        <v>8657.5</v>
      </c>
      <c r="J387" s="41">
        <f t="shared" si="136"/>
        <v>14357.5</v>
      </c>
    </row>
    <row r="388" spans="1:10" ht="51" x14ac:dyDescent="0.2">
      <c r="A388" s="1"/>
      <c r="B388" s="25"/>
      <c r="C388" s="82" t="s">
        <v>95</v>
      </c>
      <c r="D388" s="82" t="s">
        <v>93</v>
      </c>
      <c r="E388" s="21" t="s">
        <v>524</v>
      </c>
      <c r="F388" s="16"/>
      <c r="G388" s="98" t="s">
        <v>647</v>
      </c>
      <c r="H388" s="41">
        <f>H389+H391+H393</f>
        <v>18026.900000000001</v>
      </c>
      <c r="I388" s="41">
        <f t="shared" ref="I388:J388" si="137">I389+I391+I393</f>
        <v>8657.5</v>
      </c>
      <c r="J388" s="41">
        <f t="shared" si="137"/>
        <v>14357.5</v>
      </c>
    </row>
    <row r="389" spans="1:10" ht="38.25" x14ac:dyDescent="0.2">
      <c r="A389" s="1"/>
      <c r="B389" s="25"/>
      <c r="C389" s="82" t="s">
        <v>95</v>
      </c>
      <c r="D389" s="82" t="s">
        <v>93</v>
      </c>
      <c r="E389" s="21" t="s">
        <v>525</v>
      </c>
      <c r="F389" s="82"/>
      <c r="G389" s="98" t="s">
        <v>526</v>
      </c>
      <c r="H389" s="41">
        <f t="shared" ref="H389:J389" si="138">H390</f>
        <v>9844</v>
      </c>
      <c r="I389" s="41">
        <f t="shared" si="138"/>
        <v>3800</v>
      </c>
      <c r="J389" s="41">
        <f t="shared" si="138"/>
        <v>9500</v>
      </c>
    </row>
    <row r="390" spans="1:10" ht="38.25" x14ac:dyDescent="0.2">
      <c r="A390" s="1"/>
      <c r="B390" s="25"/>
      <c r="C390" s="82" t="s">
        <v>95</v>
      </c>
      <c r="D390" s="82" t="s">
        <v>93</v>
      </c>
      <c r="E390" s="21" t="s">
        <v>525</v>
      </c>
      <c r="F390" s="82" t="s">
        <v>211</v>
      </c>
      <c r="G390" s="98" t="s">
        <v>212</v>
      </c>
      <c r="H390" s="41">
        <v>9844</v>
      </c>
      <c r="I390" s="41">
        <v>3800</v>
      </c>
      <c r="J390" s="41">
        <v>9500</v>
      </c>
    </row>
    <row r="391" spans="1:10" ht="19.5" customHeight="1" x14ac:dyDescent="0.2">
      <c r="A391" s="1"/>
      <c r="B391" s="25"/>
      <c r="C391" s="16" t="s">
        <v>95</v>
      </c>
      <c r="D391" s="16" t="s">
        <v>93</v>
      </c>
      <c r="E391" s="21" t="s">
        <v>768</v>
      </c>
      <c r="F391" s="82"/>
      <c r="G391" s="98" t="s">
        <v>769</v>
      </c>
      <c r="H391" s="41">
        <f>H392</f>
        <v>483.1</v>
      </c>
      <c r="I391" s="41">
        <f t="shared" ref="I391:J391" si="139">I392</f>
        <v>0</v>
      </c>
      <c r="J391" s="41">
        <f t="shared" si="139"/>
        <v>0</v>
      </c>
    </row>
    <row r="392" spans="1:10" ht="38.25" x14ac:dyDescent="0.2">
      <c r="A392" s="1"/>
      <c r="B392" s="25"/>
      <c r="C392" s="16" t="s">
        <v>95</v>
      </c>
      <c r="D392" s="16" t="s">
        <v>93</v>
      </c>
      <c r="E392" s="21" t="s">
        <v>768</v>
      </c>
      <c r="F392" s="82" t="s">
        <v>211</v>
      </c>
      <c r="G392" s="98" t="s">
        <v>212</v>
      </c>
      <c r="H392" s="41">
        <f>241.5+241.6</f>
        <v>483.1</v>
      </c>
      <c r="I392" s="41">
        <v>0</v>
      </c>
      <c r="J392" s="41">
        <v>0</v>
      </c>
    </row>
    <row r="393" spans="1:10" ht="89.25" x14ac:dyDescent="0.2">
      <c r="A393" s="1"/>
      <c r="B393" s="25"/>
      <c r="C393" s="82" t="s">
        <v>95</v>
      </c>
      <c r="D393" s="82" t="s">
        <v>93</v>
      </c>
      <c r="E393" s="21" t="s">
        <v>675</v>
      </c>
      <c r="F393" s="82"/>
      <c r="G393" s="98" t="s">
        <v>676</v>
      </c>
      <c r="H393" s="41">
        <f>H394</f>
        <v>7699.8</v>
      </c>
      <c r="I393" s="41">
        <f t="shared" ref="I393:J393" si="140">I394</f>
        <v>4857.5</v>
      </c>
      <c r="J393" s="41">
        <f t="shared" si="140"/>
        <v>4857.5</v>
      </c>
    </row>
    <row r="394" spans="1:10" x14ac:dyDescent="0.2">
      <c r="A394" s="1"/>
      <c r="B394" s="25"/>
      <c r="C394" s="82" t="s">
        <v>95</v>
      </c>
      <c r="D394" s="82" t="s">
        <v>93</v>
      </c>
      <c r="E394" s="21" t="s">
        <v>675</v>
      </c>
      <c r="F394" s="21" t="s">
        <v>225</v>
      </c>
      <c r="G394" s="98" t="s">
        <v>224</v>
      </c>
      <c r="H394" s="41">
        <v>7699.8</v>
      </c>
      <c r="I394" s="41">
        <v>4857.5</v>
      </c>
      <c r="J394" s="41">
        <v>4857.5</v>
      </c>
    </row>
    <row r="395" spans="1:10" ht="89.25" x14ac:dyDescent="0.2">
      <c r="A395" s="1"/>
      <c r="B395" s="25"/>
      <c r="C395" s="5" t="s">
        <v>95</v>
      </c>
      <c r="D395" s="5" t="s">
        <v>93</v>
      </c>
      <c r="E395" s="76">
        <v>1400000000</v>
      </c>
      <c r="F395" s="16"/>
      <c r="G395" s="141" t="s">
        <v>586</v>
      </c>
      <c r="H395" s="96">
        <f>H396</f>
        <v>127117.7</v>
      </c>
      <c r="I395" s="96">
        <f t="shared" ref="I395:J395" si="141">I396</f>
        <v>0</v>
      </c>
      <c r="J395" s="96">
        <f t="shared" si="141"/>
        <v>0</v>
      </c>
    </row>
    <row r="396" spans="1:10" ht="89.25" x14ac:dyDescent="0.2">
      <c r="A396" s="1"/>
      <c r="B396" s="25"/>
      <c r="C396" s="47" t="s">
        <v>95</v>
      </c>
      <c r="D396" s="47" t="s">
        <v>93</v>
      </c>
      <c r="E396" s="75">
        <v>1410000000</v>
      </c>
      <c r="F396" s="16"/>
      <c r="G396" s="48" t="s">
        <v>216</v>
      </c>
      <c r="H396" s="93">
        <f>H397+H402</f>
        <v>127117.7</v>
      </c>
      <c r="I396" s="93">
        <f>I397+I402</f>
        <v>0</v>
      </c>
      <c r="J396" s="93">
        <f>J397+J402</f>
        <v>0</v>
      </c>
    </row>
    <row r="397" spans="1:10" ht="102" x14ac:dyDescent="0.2">
      <c r="A397" s="1"/>
      <c r="B397" s="25"/>
      <c r="C397" s="16" t="s">
        <v>95</v>
      </c>
      <c r="D397" s="16" t="s">
        <v>93</v>
      </c>
      <c r="E397" s="74">
        <v>1410200000</v>
      </c>
      <c r="F397" s="16"/>
      <c r="G397" s="98" t="s">
        <v>363</v>
      </c>
      <c r="H397" s="41">
        <f>H398+H400</f>
        <v>19594.5</v>
      </c>
      <c r="I397" s="41">
        <f t="shared" ref="I397:J397" si="142">I398+I400</f>
        <v>0</v>
      </c>
      <c r="J397" s="41">
        <f t="shared" si="142"/>
        <v>0</v>
      </c>
    </row>
    <row r="398" spans="1:10" ht="38.25" x14ac:dyDescent="0.2">
      <c r="A398" s="1"/>
      <c r="B398" s="25"/>
      <c r="C398" s="82" t="s">
        <v>95</v>
      </c>
      <c r="D398" s="82" t="s">
        <v>93</v>
      </c>
      <c r="E398" s="74">
        <v>1410223125</v>
      </c>
      <c r="F398" s="82"/>
      <c r="G398" s="98" t="s">
        <v>639</v>
      </c>
      <c r="H398" s="41">
        <f>H399</f>
        <v>676.30000000000007</v>
      </c>
      <c r="I398" s="41">
        <f>I399</f>
        <v>0</v>
      </c>
      <c r="J398" s="41">
        <f>J399</f>
        <v>0</v>
      </c>
    </row>
    <row r="399" spans="1:10" ht="38.25" x14ac:dyDescent="0.2">
      <c r="A399" s="1"/>
      <c r="B399" s="25"/>
      <c r="C399" s="82" t="s">
        <v>95</v>
      </c>
      <c r="D399" s="82" t="s">
        <v>93</v>
      </c>
      <c r="E399" s="74">
        <v>1410223125</v>
      </c>
      <c r="F399" s="82" t="s">
        <v>211</v>
      </c>
      <c r="G399" s="98" t="s">
        <v>212</v>
      </c>
      <c r="H399" s="41">
        <f>685.6-9.3</f>
        <v>676.30000000000007</v>
      </c>
      <c r="I399" s="41">
        <v>0</v>
      </c>
      <c r="J399" s="41">
        <v>0</v>
      </c>
    </row>
    <row r="400" spans="1:10" ht="25.5" x14ac:dyDescent="0.2">
      <c r="A400" s="1"/>
      <c r="B400" s="25"/>
      <c r="C400" s="82" t="s">
        <v>95</v>
      </c>
      <c r="D400" s="82" t="s">
        <v>93</v>
      </c>
      <c r="E400" s="74">
        <v>1410223130</v>
      </c>
      <c r="F400" s="82"/>
      <c r="G400" s="108" t="s">
        <v>640</v>
      </c>
      <c r="H400" s="41">
        <f>H401</f>
        <v>18918.2</v>
      </c>
      <c r="I400" s="41">
        <f t="shared" ref="I400:J400" si="143">I401</f>
        <v>0</v>
      </c>
      <c r="J400" s="41">
        <f t="shared" si="143"/>
        <v>0</v>
      </c>
    </row>
    <row r="401" spans="1:10" ht="38.25" x14ac:dyDescent="0.2">
      <c r="A401" s="1"/>
      <c r="B401" s="25"/>
      <c r="C401" s="82" t="s">
        <v>95</v>
      </c>
      <c r="D401" s="82" t="s">
        <v>93</v>
      </c>
      <c r="E401" s="74">
        <v>1410223130</v>
      </c>
      <c r="F401" s="82" t="s">
        <v>211</v>
      </c>
      <c r="G401" s="98" t="s">
        <v>212</v>
      </c>
      <c r="H401" s="41">
        <f>14930.6-930.6+4918.2</f>
        <v>18918.2</v>
      </c>
      <c r="I401" s="41">
        <v>0</v>
      </c>
      <c r="J401" s="41">
        <v>0</v>
      </c>
    </row>
    <row r="402" spans="1:10" ht="51" x14ac:dyDescent="0.2">
      <c r="A402" s="1"/>
      <c r="B402" s="25"/>
      <c r="C402" s="16" t="s">
        <v>95</v>
      </c>
      <c r="D402" s="16" t="s">
        <v>93</v>
      </c>
      <c r="E402" s="74" t="s">
        <v>376</v>
      </c>
      <c r="F402" s="82"/>
      <c r="G402" s="98" t="s">
        <v>377</v>
      </c>
      <c r="H402" s="41">
        <f>H403+H405</f>
        <v>107523.2</v>
      </c>
      <c r="I402" s="41">
        <f t="shared" ref="I402:J402" si="144">I403</f>
        <v>0</v>
      </c>
      <c r="J402" s="41">
        <f t="shared" si="144"/>
        <v>0</v>
      </c>
    </row>
    <row r="403" spans="1:10" ht="38.25" x14ac:dyDescent="0.2">
      <c r="A403" s="1"/>
      <c r="B403" s="25"/>
      <c r="C403" s="16" t="s">
        <v>95</v>
      </c>
      <c r="D403" s="16" t="s">
        <v>93</v>
      </c>
      <c r="E403" s="74" t="s">
        <v>349</v>
      </c>
      <c r="F403" s="16"/>
      <c r="G403" s="98" t="s">
        <v>316</v>
      </c>
      <c r="H403" s="41">
        <f>H404</f>
        <v>13527.6</v>
      </c>
      <c r="I403" s="41">
        <f>I404</f>
        <v>0</v>
      </c>
      <c r="J403" s="41">
        <f>J404</f>
        <v>0</v>
      </c>
    </row>
    <row r="404" spans="1:10" ht="38.25" x14ac:dyDescent="0.2">
      <c r="A404" s="1"/>
      <c r="B404" s="25"/>
      <c r="C404" s="82" t="s">
        <v>95</v>
      </c>
      <c r="D404" s="16" t="s">
        <v>93</v>
      </c>
      <c r="E404" s="74" t="s">
        <v>349</v>
      </c>
      <c r="F404" s="82" t="s">
        <v>211</v>
      </c>
      <c r="G404" s="98" t="s">
        <v>212</v>
      </c>
      <c r="H404" s="41">
        <v>13527.6</v>
      </c>
      <c r="I404" s="41">
        <v>0</v>
      </c>
      <c r="J404" s="41">
        <v>0</v>
      </c>
    </row>
    <row r="405" spans="1:10" ht="63.75" x14ac:dyDescent="0.2">
      <c r="A405" s="1"/>
      <c r="B405" s="25"/>
      <c r="C405" s="16" t="s">
        <v>95</v>
      </c>
      <c r="D405" s="16" t="s">
        <v>93</v>
      </c>
      <c r="E405" s="129" t="s">
        <v>664</v>
      </c>
      <c r="F405" s="16"/>
      <c r="G405" s="98" t="s">
        <v>665</v>
      </c>
      <c r="H405" s="41">
        <f>H406</f>
        <v>93995.599999999991</v>
      </c>
      <c r="I405" s="41">
        <f>I406</f>
        <v>0</v>
      </c>
      <c r="J405" s="41">
        <f>J406</f>
        <v>0</v>
      </c>
    </row>
    <row r="406" spans="1:10" x14ac:dyDescent="0.2">
      <c r="A406" s="1"/>
      <c r="B406" s="25"/>
      <c r="C406" s="82" t="s">
        <v>95</v>
      </c>
      <c r="D406" s="16" t="s">
        <v>93</v>
      </c>
      <c r="E406" s="129" t="s">
        <v>664</v>
      </c>
      <c r="F406" s="21" t="s">
        <v>225</v>
      </c>
      <c r="G406" s="98" t="s">
        <v>224</v>
      </c>
      <c r="H406" s="41">
        <f>93055.7+939.9</f>
        <v>93995.599999999991</v>
      </c>
      <c r="I406" s="41">
        <v>0</v>
      </c>
      <c r="J406" s="41">
        <v>0</v>
      </c>
    </row>
    <row r="407" spans="1:10" ht="127.5" x14ac:dyDescent="0.2">
      <c r="A407" s="1"/>
      <c r="B407" s="25"/>
      <c r="C407" s="5" t="s">
        <v>95</v>
      </c>
      <c r="D407" s="5" t="s">
        <v>93</v>
      </c>
      <c r="E407" s="73" t="s">
        <v>540</v>
      </c>
      <c r="F407" s="82"/>
      <c r="G407" s="141" t="s">
        <v>587</v>
      </c>
      <c r="H407" s="96">
        <f>H408+H412</f>
        <v>19349</v>
      </c>
      <c r="I407" s="96">
        <f t="shared" ref="I407:J407" si="145">I408</f>
        <v>300</v>
      </c>
      <c r="J407" s="96">
        <f t="shared" si="145"/>
        <v>300</v>
      </c>
    </row>
    <row r="408" spans="1:10" ht="54.75" customHeight="1" x14ac:dyDescent="0.2">
      <c r="A408" s="1"/>
      <c r="B408" s="25"/>
      <c r="C408" s="47" t="s">
        <v>95</v>
      </c>
      <c r="D408" s="47" t="s">
        <v>93</v>
      </c>
      <c r="E408" s="140">
        <v>1510000000</v>
      </c>
      <c r="F408" s="82"/>
      <c r="G408" s="48" t="s">
        <v>361</v>
      </c>
      <c r="H408" s="41">
        <f>H409</f>
        <v>0</v>
      </c>
      <c r="I408" s="41">
        <f t="shared" ref="I408:J409" si="146">I409</f>
        <v>300</v>
      </c>
      <c r="J408" s="41">
        <f t="shared" si="146"/>
        <v>300</v>
      </c>
    </row>
    <row r="409" spans="1:10" ht="51" x14ac:dyDescent="0.2">
      <c r="A409" s="1"/>
      <c r="B409" s="25"/>
      <c r="C409" s="82" t="s">
        <v>95</v>
      </c>
      <c r="D409" s="16" t="s">
        <v>93</v>
      </c>
      <c r="E409" s="129">
        <v>1510300000</v>
      </c>
      <c r="F409" s="82"/>
      <c r="G409" s="98" t="s">
        <v>541</v>
      </c>
      <c r="H409" s="41">
        <f>H410</f>
        <v>0</v>
      </c>
      <c r="I409" s="41">
        <f t="shared" si="146"/>
        <v>300</v>
      </c>
      <c r="J409" s="41">
        <f t="shared" si="146"/>
        <v>300</v>
      </c>
    </row>
    <row r="410" spans="1:10" ht="52.5" customHeight="1" x14ac:dyDescent="0.2">
      <c r="A410" s="1"/>
      <c r="B410" s="25"/>
      <c r="C410" s="166" t="s">
        <v>95</v>
      </c>
      <c r="D410" s="167" t="s">
        <v>93</v>
      </c>
      <c r="E410" s="168" t="s">
        <v>730</v>
      </c>
      <c r="F410" s="82"/>
      <c r="G410" s="99" t="s">
        <v>731</v>
      </c>
      <c r="H410" s="41">
        <f>H411</f>
        <v>0</v>
      </c>
      <c r="I410" s="41">
        <f t="shared" ref="I410:J410" si="147">I411</f>
        <v>300</v>
      </c>
      <c r="J410" s="41">
        <f t="shared" si="147"/>
        <v>300</v>
      </c>
    </row>
    <row r="411" spans="1:10" ht="38.25" x14ac:dyDescent="0.2">
      <c r="A411" s="1"/>
      <c r="B411" s="25"/>
      <c r="C411" s="166" t="s">
        <v>95</v>
      </c>
      <c r="D411" s="167" t="s">
        <v>93</v>
      </c>
      <c r="E411" s="168" t="s">
        <v>730</v>
      </c>
      <c r="F411" s="82" t="s">
        <v>211</v>
      </c>
      <c r="G411" s="99" t="s">
        <v>212</v>
      </c>
      <c r="H411" s="41">
        <v>0</v>
      </c>
      <c r="I411" s="41">
        <v>300</v>
      </c>
      <c r="J411" s="41">
        <v>300</v>
      </c>
    </row>
    <row r="412" spans="1:10" ht="63" customHeight="1" x14ac:dyDescent="0.2">
      <c r="A412" s="1"/>
      <c r="B412" s="25"/>
      <c r="C412" s="166" t="s">
        <v>95</v>
      </c>
      <c r="D412" s="167" t="s">
        <v>93</v>
      </c>
      <c r="E412" s="140">
        <v>1520000000</v>
      </c>
      <c r="F412" s="82"/>
      <c r="G412" s="48" t="s">
        <v>763</v>
      </c>
      <c r="H412" s="170">
        <f>H413</f>
        <v>19349</v>
      </c>
      <c r="I412" s="170">
        <f t="shared" ref="I412:J412" si="148">I413</f>
        <v>0</v>
      </c>
      <c r="J412" s="170">
        <f t="shared" si="148"/>
        <v>0</v>
      </c>
    </row>
    <row r="413" spans="1:10" ht="38.25" x14ac:dyDescent="0.2">
      <c r="A413" s="1"/>
      <c r="B413" s="25"/>
      <c r="C413" s="166" t="s">
        <v>95</v>
      </c>
      <c r="D413" s="167" t="s">
        <v>93</v>
      </c>
      <c r="E413" s="129">
        <v>1520400000</v>
      </c>
      <c r="F413" s="82"/>
      <c r="G413" s="98" t="s">
        <v>770</v>
      </c>
      <c r="H413" s="170">
        <f>H414</f>
        <v>19349</v>
      </c>
      <c r="I413" s="170">
        <f t="shared" ref="I413:J413" si="149">I414</f>
        <v>0</v>
      </c>
      <c r="J413" s="170">
        <f t="shared" si="149"/>
        <v>0</v>
      </c>
    </row>
    <row r="414" spans="1:10" ht="51" x14ac:dyDescent="0.2">
      <c r="A414" s="1"/>
      <c r="B414" s="25"/>
      <c r="C414" s="166" t="s">
        <v>95</v>
      </c>
      <c r="D414" s="167" t="s">
        <v>93</v>
      </c>
      <c r="E414" s="129">
        <v>1520424016</v>
      </c>
      <c r="F414" s="82"/>
      <c r="G414" s="98" t="s">
        <v>764</v>
      </c>
      <c r="H414" s="170">
        <f>H415</f>
        <v>19349</v>
      </c>
      <c r="I414" s="170">
        <f t="shared" ref="I414:J414" si="150">I415</f>
        <v>0</v>
      </c>
      <c r="J414" s="170">
        <f t="shared" si="150"/>
        <v>0</v>
      </c>
    </row>
    <row r="415" spans="1:10" ht="38.25" x14ac:dyDescent="0.2">
      <c r="A415" s="1"/>
      <c r="B415" s="25"/>
      <c r="C415" s="166" t="s">
        <v>95</v>
      </c>
      <c r="D415" s="167" t="s">
        <v>93</v>
      </c>
      <c r="E415" s="129">
        <v>1520424016</v>
      </c>
      <c r="F415" s="166" t="s">
        <v>211</v>
      </c>
      <c r="G415" s="169" t="s">
        <v>212</v>
      </c>
      <c r="H415" s="39">
        <f>31000+19963.4-31614.4</f>
        <v>19349</v>
      </c>
      <c r="I415" s="170">
        <v>0</v>
      </c>
      <c r="J415" s="170">
        <v>0</v>
      </c>
    </row>
    <row r="416" spans="1:10" ht="25.5" x14ac:dyDescent="0.2">
      <c r="A416" s="1"/>
      <c r="B416" s="25"/>
      <c r="C416" s="166" t="s">
        <v>95</v>
      </c>
      <c r="D416" s="167" t="s">
        <v>93</v>
      </c>
      <c r="E416" s="79">
        <v>9900000000</v>
      </c>
      <c r="F416" s="16"/>
      <c r="G416" s="55" t="s">
        <v>144</v>
      </c>
      <c r="H416" s="94">
        <f t="shared" ref="H416:J418" si="151">H417</f>
        <v>153.69999999999999</v>
      </c>
      <c r="I416" s="94">
        <f t="shared" si="151"/>
        <v>0</v>
      </c>
      <c r="J416" s="94">
        <f t="shared" si="151"/>
        <v>0</v>
      </c>
    </row>
    <row r="417" spans="1:10" ht="14.25" x14ac:dyDescent="0.2">
      <c r="A417" s="1"/>
      <c r="B417" s="25"/>
      <c r="C417" s="166" t="s">
        <v>95</v>
      </c>
      <c r="D417" s="167" t="s">
        <v>93</v>
      </c>
      <c r="E417" s="79">
        <v>9920000000</v>
      </c>
      <c r="F417" s="35"/>
      <c r="G417" s="126" t="s">
        <v>5</v>
      </c>
      <c r="H417" s="94">
        <f t="shared" si="151"/>
        <v>153.69999999999999</v>
      </c>
      <c r="I417" s="94">
        <f t="shared" si="151"/>
        <v>0</v>
      </c>
      <c r="J417" s="94">
        <f t="shared" si="151"/>
        <v>0</v>
      </c>
    </row>
    <row r="418" spans="1:10" ht="25.5" x14ac:dyDescent="0.2">
      <c r="A418" s="1"/>
      <c r="B418" s="25"/>
      <c r="C418" s="166" t="s">
        <v>95</v>
      </c>
      <c r="D418" s="167" t="s">
        <v>93</v>
      </c>
      <c r="E418" s="79">
        <v>9920026100</v>
      </c>
      <c r="F418" s="21"/>
      <c r="G418" s="99" t="s">
        <v>11</v>
      </c>
      <c r="H418" s="39">
        <f t="shared" si="151"/>
        <v>153.69999999999999</v>
      </c>
      <c r="I418" s="39">
        <f t="shared" si="151"/>
        <v>0</v>
      </c>
      <c r="J418" s="39">
        <f t="shared" si="151"/>
        <v>0</v>
      </c>
    </row>
    <row r="419" spans="1:10" ht="38.25" x14ac:dyDescent="0.2">
      <c r="A419" s="1"/>
      <c r="B419" s="25"/>
      <c r="C419" s="166" t="s">
        <v>95</v>
      </c>
      <c r="D419" s="167" t="s">
        <v>93</v>
      </c>
      <c r="E419" s="79">
        <v>9920026100</v>
      </c>
      <c r="F419" s="166" t="s">
        <v>211</v>
      </c>
      <c r="G419" s="169" t="s">
        <v>212</v>
      </c>
      <c r="H419" s="39">
        <v>153.69999999999999</v>
      </c>
      <c r="I419" s="39">
        <v>0</v>
      </c>
      <c r="J419" s="39">
        <v>0</v>
      </c>
    </row>
    <row r="420" spans="1:10" ht="42.75" x14ac:dyDescent="0.2">
      <c r="A420" s="1"/>
      <c r="B420" s="25"/>
      <c r="C420" s="30" t="s">
        <v>95</v>
      </c>
      <c r="D420" s="30" t="s">
        <v>95</v>
      </c>
      <c r="E420" s="30"/>
      <c r="F420" s="30"/>
      <c r="G420" s="50" t="s">
        <v>478</v>
      </c>
      <c r="H420" s="93">
        <f>H421</f>
        <v>1380.9</v>
      </c>
      <c r="I420" s="93">
        <f t="shared" ref="I420:J420" si="152">I421</f>
        <v>1180.9000000000001</v>
      </c>
      <c r="J420" s="93">
        <f t="shared" si="152"/>
        <v>1180.9000000000001</v>
      </c>
    </row>
    <row r="421" spans="1:10" ht="63.75" x14ac:dyDescent="0.2">
      <c r="A421" s="1"/>
      <c r="B421" s="25"/>
      <c r="C421" s="5" t="s">
        <v>95</v>
      </c>
      <c r="D421" s="5" t="s">
        <v>95</v>
      </c>
      <c r="E421" s="76">
        <v>400000000</v>
      </c>
      <c r="F421" s="30"/>
      <c r="G421" s="64" t="s">
        <v>375</v>
      </c>
      <c r="H421" s="96">
        <f>H422</f>
        <v>1380.9</v>
      </c>
      <c r="I421" s="96">
        <f t="shared" ref="I421:J421" si="153">I422</f>
        <v>1180.9000000000001</v>
      </c>
      <c r="J421" s="96">
        <f t="shared" si="153"/>
        <v>1180.9000000000001</v>
      </c>
    </row>
    <row r="422" spans="1:10" ht="129.75" customHeight="1" x14ac:dyDescent="0.2">
      <c r="A422" s="1"/>
      <c r="B422" s="25"/>
      <c r="C422" s="82" t="s">
        <v>95</v>
      </c>
      <c r="D422" s="82" t="s">
        <v>95</v>
      </c>
      <c r="E422" s="75">
        <v>430000000</v>
      </c>
      <c r="F422" s="16"/>
      <c r="G422" s="46" t="s">
        <v>477</v>
      </c>
      <c r="H422" s="39">
        <f>H423</f>
        <v>1380.9</v>
      </c>
      <c r="I422" s="39">
        <f t="shared" ref="I422:J422" si="154">I423</f>
        <v>1180.9000000000001</v>
      </c>
      <c r="J422" s="39">
        <f t="shared" si="154"/>
        <v>1180.9000000000001</v>
      </c>
    </row>
    <row r="423" spans="1:10" ht="63.75" x14ac:dyDescent="0.2">
      <c r="A423" s="1"/>
      <c r="B423" s="25"/>
      <c r="C423" s="82" t="s">
        <v>95</v>
      </c>
      <c r="D423" s="82" t="s">
        <v>95</v>
      </c>
      <c r="E423" s="74">
        <v>430100000</v>
      </c>
      <c r="F423" s="30"/>
      <c r="G423" s="97" t="s">
        <v>233</v>
      </c>
      <c r="H423" s="39">
        <f>H424+H426</f>
        <v>1380.9</v>
      </c>
      <c r="I423" s="39">
        <f t="shared" ref="I423:J423" si="155">I424+I426</f>
        <v>1180.9000000000001</v>
      </c>
      <c r="J423" s="39">
        <f t="shared" si="155"/>
        <v>1180.9000000000001</v>
      </c>
    </row>
    <row r="424" spans="1:10" ht="105.75" customHeight="1" x14ac:dyDescent="0.2">
      <c r="A424" s="1"/>
      <c r="B424" s="25"/>
      <c r="C424" s="82" t="s">
        <v>95</v>
      </c>
      <c r="D424" s="82" t="s">
        <v>95</v>
      </c>
      <c r="E424" s="79">
        <v>430127310</v>
      </c>
      <c r="F424" s="16"/>
      <c r="G424" s="98" t="s">
        <v>591</v>
      </c>
      <c r="H424" s="41">
        <f>H425</f>
        <v>1200</v>
      </c>
      <c r="I424" s="41">
        <f>I425</f>
        <v>1000</v>
      </c>
      <c r="J424" s="41">
        <f>J425</f>
        <v>1000</v>
      </c>
    </row>
    <row r="425" spans="1:10" ht="63.75" x14ac:dyDescent="0.2">
      <c r="A425" s="1"/>
      <c r="B425" s="25"/>
      <c r="C425" s="82" t="s">
        <v>95</v>
      </c>
      <c r="D425" s="82" t="s">
        <v>95</v>
      </c>
      <c r="E425" s="79">
        <v>430127310</v>
      </c>
      <c r="F425" s="16" t="s">
        <v>12</v>
      </c>
      <c r="G425" s="98" t="s">
        <v>318</v>
      </c>
      <c r="H425" s="41">
        <v>1200</v>
      </c>
      <c r="I425" s="41">
        <v>1000</v>
      </c>
      <c r="J425" s="41">
        <v>1000</v>
      </c>
    </row>
    <row r="426" spans="1:10" ht="102.75" customHeight="1" x14ac:dyDescent="0.2">
      <c r="A426" s="1"/>
      <c r="B426" s="25"/>
      <c r="C426" s="82" t="s">
        <v>95</v>
      </c>
      <c r="D426" s="82" t="s">
        <v>95</v>
      </c>
      <c r="E426" s="79">
        <v>430127320</v>
      </c>
      <c r="F426" s="16"/>
      <c r="G426" s="98" t="s">
        <v>479</v>
      </c>
      <c r="H426" s="41">
        <f>H427</f>
        <v>180.9</v>
      </c>
      <c r="I426" s="41">
        <f t="shared" ref="I426:J426" si="156">I427</f>
        <v>180.9</v>
      </c>
      <c r="J426" s="41">
        <f t="shared" si="156"/>
        <v>180.9</v>
      </c>
    </row>
    <row r="427" spans="1:10" ht="63.75" x14ac:dyDescent="0.2">
      <c r="A427" s="1"/>
      <c r="B427" s="25"/>
      <c r="C427" s="82" t="s">
        <v>95</v>
      </c>
      <c r="D427" s="82" t="s">
        <v>95</v>
      </c>
      <c r="E427" s="79">
        <v>430127320</v>
      </c>
      <c r="F427" s="16" t="s">
        <v>12</v>
      </c>
      <c r="G427" s="98" t="s">
        <v>318</v>
      </c>
      <c r="H427" s="41">
        <v>180.9</v>
      </c>
      <c r="I427" s="41">
        <v>180.9</v>
      </c>
      <c r="J427" s="41">
        <v>180.9</v>
      </c>
    </row>
    <row r="428" spans="1:10" ht="15.75" x14ac:dyDescent="0.25">
      <c r="A428" s="3"/>
      <c r="B428" s="91"/>
      <c r="C428" s="4" t="s">
        <v>110</v>
      </c>
      <c r="D428" s="3"/>
      <c r="E428" s="3"/>
      <c r="F428" s="3"/>
      <c r="G428" s="49" t="s">
        <v>111</v>
      </c>
      <c r="H428" s="92">
        <f>H429+H435+H445</f>
        <v>26312.2</v>
      </c>
      <c r="I428" s="92">
        <f>I429+I435+I445</f>
        <v>8441.7999999999993</v>
      </c>
      <c r="J428" s="92">
        <f>J429+J435+J445</f>
        <v>10298.9</v>
      </c>
    </row>
    <row r="429" spans="1:10" ht="15.75" x14ac:dyDescent="0.25">
      <c r="A429" s="3"/>
      <c r="B429" s="91"/>
      <c r="C429" s="35" t="s">
        <v>110</v>
      </c>
      <c r="D429" s="35" t="s">
        <v>88</v>
      </c>
      <c r="E429" s="35"/>
      <c r="F429" s="35"/>
      <c r="G429" s="45" t="s">
        <v>112</v>
      </c>
      <c r="H429" s="42">
        <f t="shared" ref="H429:J430" si="157">H430</f>
        <v>2338.3000000000002</v>
      </c>
      <c r="I429" s="42">
        <f t="shared" si="157"/>
        <v>2338.3000000000002</v>
      </c>
      <c r="J429" s="42">
        <f t="shared" si="157"/>
        <v>2338.3000000000002</v>
      </c>
    </row>
    <row r="430" spans="1:10" ht="90" x14ac:dyDescent="0.25">
      <c r="A430" s="3"/>
      <c r="B430" s="91"/>
      <c r="C430" s="5" t="s">
        <v>110</v>
      </c>
      <c r="D430" s="5" t="s">
        <v>88</v>
      </c>
      <c r="E430" s="73" t="s">
        <v>35</v>
      </c>
      <c r="F430" s="3"/>
      <c r="G430" s="141" t="s">
        <v>585</v>
      </c>
      <c r="H430" s="96">
        <f t="shared" si="157"/>
        <v>2338.3000000000002</v>
      </c>
      <c r="I430" s="96">
        <f t="shared" si="157"/>
        <v>2338.3000000000002</v>
      </c>
      <c r="J430" s="96">
        <f t="shared" si="157"/>
        <v>2338.3000000000002</v>
      </c>
    </row>
    <row r="431" spans="1:10" ht="26.25" x14ac:dyDescent="0.25">
      <c r="A431" s="3"/>
      <c r="B431" s="91"/>
      <c r="C431" s="16" t="s">
        <v>110</v>
      </c>
      <c r="D431" s="16" t="s">
        <v>88</v>
      </c>
      <c r="E431" s="52" t="s">
        <v>37</v>
      </c>
      <c r="F431" s="3"/>
      <c r="G431" s="46" t="s">
        <v>80</v>
      </c>
      <c r="H431" s="93">
        <f>H433</f>
        <v>2338.3000000000002</v>
      </c>
      <c r="I431" s="93">
        <f t="shared" ref="I431:J431" si="158">I433</f>
        <v>2338.3000000000002</v>
      </c>
      <c r="J431" s="93">
        <f t="shared" si="158"/>
        <v>2338.3000000000002</v>
      </c>
    </row>
    <row r="432" spans="1:10" ht="39" x14ac:dyDescent="0.25">
      <c r="A432" s="3"/>
      <c r="B432" s="91"/>
      <c r="C432" s="16" t="s">
        <v>110</v>
      </c>
      <c r="D432" s="16" t="s">
        <v>88</v>
      </c>
      <c r="E432" s="21" t="s">
        <v>278</v>
      </c>
      <c r="F432" s="3"/>
      <c r="G432" s="104" t="s">
        <v>645</v>
      </c>
      <c r="H432" s="39">
        <f t="shared" ref="H432:J433" si="159">H433</f>
        <v>2338.3000000000002</v>
      </c>
      <c r="I432" s="39">
        <f t="shared" si="159"/>
        <v>2338.3000000000002</v>
      </c>
      <c r="J432" s="39">
        <f t="shared" si="159"/>
        <v>2338.3000000000002</v>
      </c>
    </row>
    <row r="433" spans="1:10" ht="26.25" x14ac:dyDescent="0.25">
      <c r="A433" s="3"/>
      <c r="B433" s="91"/>
      <c r="C433" s="16" t="s">
        <v>110</v>
      </c>
      <c r="D433" s="16" t="s">
        <v>88</v>
      </c>
      <c r="E433" s="79">
        <v>1320225100</v>
      </c>
      <c r="F433" s="3"/>
      <c r="G433" s="99" t="s">
        <v>362</v>
      </c>
      <c r="H433" s="41">
        <f t="shared" si="159"/>
        <v>2338.3000000000002</v>
      </c>
      <c r="I433" s="41">
        <f t="shared" si="159"/>
        <v>2338.3000000000002</v>
      </c>
      <c r="J433" s="41">
        <f t="shared" si="159"/>
        <v>2338.3000000000002</v>
      </c>
    </row>
    <row r="434" spans="1:10" ht="25.5" x14ac:dyDescent="0.25">
      <c r="A434" s="3"/>
      <c r="B434" s="91"/>
      <c r="C434" s="16" t="s">
        <v>110</v>
      </c>
      <c r="D434" s="16" t="s">
        <v>88</v>
      </c>
      <c r="E434" s="79">
        <v>1320225100</v>
      </c>
      <c r="F434" s="82" t="s">
        <v>279</v>
      </c>
      <c r="G434" s="98" t="s">
        <v>280</v>
      </c>
      <c r="H434" s="39">
        <v>2338.3000000000002</v>
      </c>
      <c r="I434" s="39">
        <v>2338.3000000000002</v>
      </c>
      <c r="J434" s="39">
        <v>2338.3000000000002</v>
      </c>
    </row>
    <row r="435" spans="1:10" ht="15.75" x14ac:dyDescent="0.25">
      <c r="A435" s="3"/>
      <c r="B435" s="91"/>
      <c r="C435" s="35" t="s">
        <v>110</v>
      </c>
      <c r="D435" s="35" t="s">
        <v>93</v>
      </c>
      <c r="E435" s="35"/>
      <c r="F435" s="35"/>
      <c r="G435" s="45" t="s">
        <v>116</v>
      </c>
      <c r="H435" s="42">
        <f>H436+H441</f>
        <v>788</v>
      </c>
      <c r="I435" s="42">
        <f t="shared" ref="I435:J435" si="160">I436</f>
        <v>638</v>
      </c>
      <c r="J435" s="42">
        <f t="shared" si="160"/>
        <v>638</v>
      </c>
    </row>
    <row r="436" spans="1:10" ht="90" x14ac:dyDescent="0.25">
      <c r="A436" s="3"/>
      <c r="B436" s="91"/>
      <c r="C436" s="5" t="s">
        <v>110</v>
      </c>
      <c r="D436" s="5" t="s">
        <v>93</v>
      </c>
      <c r="E436" s="73" t="s">
        <v>35</v>
      </c>
      <c r="F436" s="3"/>
      <c r="G436" s="141" t="s">
        <v>585</v>
      </c>
      <c r="H436" s="59">
        <f t="shared" ref="H436:J436" si="161">H437</f>
        <v>688</v>
      </c>
      <c r="I436" s="59">
        <f t="shared" si="161"/>
        <v>638</v>
      </c>
      <c r="J436" s="59">
        <f t="shared" si="161"/>
        <v>638</v>
      </c>
    </row>
    <row r="437" spans="1:10" ht="26.25" x14ac:dyDescent="0.25">
      <c r="A437" s="3"/>
      <c r="B437" s="91"/>
      <c r="C437" s="47" t="s">
        <v>110</v>
      </c>
      <c r="D437" s="47" t="s">
        <v>93</v>
      </c>
      <c r="E437" s="52" t="s">
        <v>37</v>
      </c>
      <c r="F437" s="16"/>
      <c r="G437" s="46" t="s">
        <v>80</v>
      </c>
      <c r="H437" s="93">
        <f>H439</f>
        <v>688</v>
      </c>
      <c r="I437" s="93">
        <f t="shared" ref="I437:J437" si="162">I439</f>
        <v>638</v>
      </c>
      <c r="J437" s="93">
        <f t="shared" si="162"/>
        <v>638</v>
      </c>
    </row>
    <row r="438" spans="1:10" ht="51.75" x14ac:dyDescent="0.25">
      <c r="A438" s="3"/>
      <c r="B438" s="91"/>
      <c r="C438" s="16" t="s">
        <v>110</v>
      </c>
      <c r="D438" s="16" t="s">
        <v>93</v>
      </c>
      <c r="E438" s="21" t="s">
        <v>278</v>
      </c>
      <c r="F438" s="16"/>
      <c r="G438" s="104" t="s">
        <v>301</v>
      </c>
      <c r="H438" s="41">
        <f t="shared" ref="H438:J439" si="163">H439</f>
        <v>688</v>
      </c>
      <c r="I438" s="41">
        <f t="shared" si="163"/>
        <v>638</v>
      </c>
      <c r="J438" s="41">
        <f t="shared" si="163"/>
        <v>638</v>
      </c>
    </row>
    <row r="439" spans="1:10" ht="63.75" x14ac:dyDescent="0.25">
      <c r="A439" s="3"/>
      <c r="B439" s="91"/>
      <c r="C439" s="16" t="s">
        <v>110</v>
      </c>
      <c r="D439" s="16" t="s">
        <v>93</v>
      </c>
      <c r="E439" s="79">
        <v>1320127100</v>
      </c>
      <c r="F439" s="16"/>
      <c r="G439" s="98" t="s">
        <v>3</v>
      </c>
      <c r="H439" s="41">
        <f t="shared" si="163"/>
        <v>688</v>
      </c>
      <c r="I439" s="41">
        <f t="shared" si="163"/>
        <v>638</v>
      </c>
      <c r="J439" s="41">
        <f t="shared" si="163"/>
        <v>638</v>
      </c>
    </row>
    <row r="440" spans="1:10" ht="77.25" x14ac:dyDescent="0.25">
      <c r="A440" s="3"/>
      <c r="B440" s="91"/>
      <c r="C440" s="16" t="s">
        <v>110</v>
      </c>
      <c r="D440" s="16" t="s">
        <v>93</v>
      </c>
      <c r="E440" s="79">
        <v>1320127100</v>
      </c>
      <c r="F440" s="16" t="s">
        <v>19</v>
      </c>
      <c r="G440" s="99" t="s">
        <v>360</v>
      </c>
      <c r="H440" s="41">
        <v>688</v>
      </c>
      <c r="I440" s="41">
        <v>638</v>
      </c>
      <c r="J440" s="41">
        <v>638</v>
      </c>
    </row>
    <row r="441" spans="1:10" ht="25.5" x14ac:dyDescent="0.25">
      <c r="A441" s="3"/>
      <c r="B441" s="91"/>
      <c r="C441" s="5" t="s">
        <v>110</v>
      </c>
      <c r="D441" s="5" t="s">
        <v>93</v>
      </c>
      <c r="E441" s="83">
        <v>9900000000</v>
      </c>
      <c r="F441" s="5"/>
      <c r="G441" s="84" t="s">
        <v>144</v>
      </c>
      <c r="H441" s="62">
        <f>H442</f>
        <v>100</v>
      </c>
      <c r="I441" s="62">
        <f t="shared" ref="I441:J441" si="164">I442</f>
        <v>0</v>
      </c>
      <c r="J441" s="62">
        <f t="shared" si="164"/>
        <v>0</v>
      </c>
    </row>
    <row r="442" spans="1:10" ht="15.75" x14ac:dyDescent="0.25">
      <c r="A442" s="3"/>
      <c r="B442" s="91"/>
      <c r="C442" s="16" t="s">
        <v>110</v>
      </c>
      <c r="D442" s="16" t="s">
        <v>93</v>
      </c>
      <c r="E442" s="79">
        <v>9920000000</v>
      </c>
      <c r="F442" s="35"/>
      <c r="G442" s="126" t="s">
        <v>5</v>
      </c>
      <c r="H442" s="94">
        <f t="shared" ref="H442:J443" si="165">H443</f>
        <v>100</v>
      </c>
      <c r="I442" s="94">
        <f t="shared" si="165"/>
        <v>0</v>
      </c>
      <c r="J442" s="94">
        <f t="shared" si="165"/>
        <v>0</v>
      </c>
    </row>
    <row r="443" spans="1:10" ht="26.25" x14ac:dyDescent="0.25">
      <c r="A443" s="3"/>
      <c r="B443" s="91"/>
      <c r="C443" s="16" t="s">
        <v>110</v>
      </c>
      <c r="D443" s="16" t="s">
        <v>93</v>
      </c>
      <c r="E443" s="79">
        <v>9920026100</v>
      </c>
      <c r="F443" s="21"/>
      <c r="G443" s="22" t="s">
        <v>11</v>
      </c>
      <c r="H443" s="39">
        <f t="shared" si="165"/>
        <v>100</v>
      </c>
      <c r="I443" s="39">
        <f t="shared" si="165"/>
        <v>0</v>
      </c>
      <c r="J443" s="39">
        <f t="shared" si="165"/>
        <v>0</v>
      </c>
    </row>
    <row r="444" spans="1:10" ht="15.75" x14ac:dyDescent="0.25">
      <c r="A444" s="3"/>
      <c r="B444" s="91"/>
      <c r="C444" s="16" t="s">
        <v>110</v>
      </c>
      <c r="D444" s="16" t="s">
        <v>93</v>
      </c>
      <c r="E444" s="79">
        <v>9920026100</v>
      </c>
      <c r="F444" s="82" t="s">
        <v>81</v>
      </c>
      <c r="G444" s="98" t="s">
        <v>82</v>
      </c>
      <c r="H444" s="39">
        <f>50+50</f>
        <v>100</v>
      </c>
      <c r="I444" s="39">
        <v>0</v>
      </c>
      <c r="J444" s="39">
        <v>0</v>
      </c>
    </row>
    <row r="445" spans="1:10" ht="14.25" x14ac:dyDescent="0.2">
      <c r="A445" s="1"/>
      <c r="B445" s="25"/>
      <c r="C445" s="35" t="s">
        <v>110</v>
      </c>
      <c r="D445" s="35" t="s">
        <v>94</v>
      </c>
      <c r="E445" s="35"/>
      <c r="F445" s="38"/>
      <c r="G445" s="50" t="s">
        <v>13</v>
      </c>
      <c r="H445" s="40">
        <f t="shared" ref="H445:J446" si="166">H446</f>
        <v>23185.9</v>
      </c>
      <c r="I445" s="40">
        <f t="shared" si="166"/>
        <v>5465.5</v>
      </c>
      <c r="J445" s="40">
        <f t="shared" si="166"/>
        <v>7322.5999999999995</v>
      </c>
    </row>
    <row r="446" spans="1:10" ht="90" x14ac:dyDescent="0.25">
      <c r="A446" s="1"/>
      <c r="B446" s="25"/>
      <c r="C446" s="5" t="s">
        <v>110</v>
      </c>
      <c r="D446" s="5" t="s">
        <v>94</v>
      </c>
      <c r="E446" s="73" t="s">
        <v>35</v>
      </c>
      <c r="F446" s="3"/>
      <c r="G446" s="141" t="s">
        <v>585</v>
      </c>
      <c r="H446" s="96">
        <f t="shared" si="166"/>
        <v>23185.9</v>
      </c>
      <c r="I446" s="96">
        <f t="shared" si="166"/>
        <v>5465.5</v>
      </c>
      <c r="J446" s="96">
        <f t="shared" si="166"/>
        <v>7322.5999999999995</v>
      </c>
    </row>
    <row r="447" spans="1:10" ht="25.5" x14ac:dyDescent="0.2">
      <c r="A447" s="1"/>
      <c r="B447" s="25"/>
      <c r="C447" s="47" t="s">
        <v>110</v>
      </c>
      <c r="D447" s="47" t="s">
        <v>94</v>
      </c>
      <c r="E447" s="52" t="s">
        <v>36</v>
      </c>
      <c r="F447" s="35"/>
      <c r="G447" s="46" t="s">
        <v>83</v>
      </c>
      <c r="H447" s="93">
        <f>H448+H453+H456</f>
        <v>23185.9</v>
      </c>
      <c r="I447" s="93">
        <f>I448+I453+I456</f>
        <v>5465.5</v>
      </c>
      <c r="J447" s="93">
        <f>J448+J453+J456</f>
        <v>7322.5999999999995</v>
      </c>
    </row>
    <row r="448" spans="1:10" ht="39" x14ac:dyDescent="0.25">
      <c r="A448" s="1"/>
      <c r="B448" s="25"/>
      <c r="C448" s="16" t="s">
        <v>110</v>
      </c>
      <c r="D448" s="16" t="s">
        <v>94</v>
      </c>
      <c r="E448" s="21" t="s">
        <v>275</v>
      </c>
      <c r="F448" s="3"/>
      <c r="G448" s="104" t="s">
        <v>276</v>
      </c>
      <c r="H448" s="41">
        <f>H449+H451</f>
        <v>3623</v>
      </c>
      <c r="I448" s="41">
        <f t="shared" ref="I448:J448" si="167">I449+I451</f>
        <v>905.8</v>
      </c>
      <c r="J448" s="41">
        <f t="shared" si="167"/>
        <v>1086.9000000000001</v>
      </c>
    </row>
    <row r="449" spans="1:10" ht="39" x14ac:dyDescent="0.25">
      <c r="A449" s="1"/>
      <c r="B449" s="25"/>
      <c r="C449" s="16" t="s">
        <v>110</v>
      </c>
      <c r="D449" s="16" t="s">
        <v>94</v>
      </c>
      <c r="E449" s="21" t="s">
        <v>305</v>
      </c>
      <c r="F449" s="3"/>
      <c r="G449" s="128" t="s">
        <v>202</v>
      </c>
      <c r="H449" s="41">
        <f t="shared" ref="H449:J449" si="168">H450</f>
        <v>724.6</v>
      </c>
      <c r="I449" s="41">
        <f t="shared" si="168"/>
        <v>905.8</v>
      </c>
      <c r="J449" s="41">
        <f t="shared" si="168"/>
        <v>1086.9000000000001</v>
      </c>
    </row>
    <row r="450" spans="1:10" x14ac:dyDescent="0.2">
      <c r="A450" s="1"/>
      <c r="B450" s="25"/>
      <c r="C450" s="16" t="s">
        <v>110</v>
      </c>
      <c r="D450" s="16" t="s">
        <v>94</v>
      </c>
      <c r="E450" s="21" t="s">
        <v>305</v>
      </c>
      <c r="F450" s="82" t="s">
        <v>248</v>
      </c>
      <c r="G450" s="102" t="s">
        <v>247</v>
      </c>
      <c r="H450" s="41">
        <v>724.6</v>
      </c>
      <c r="I450" s="41">
        <v>905.8</v>
      </c>
      <c r="J450" s="41">
        <v>1086.9000000000001</v>
      </c>
    </row>
    <row r="451" spans="1:10" ht="38.25" x14ac:dyDescent="0.2">
      <c r="A451" s="1"/>
      <c r="B451" s="25"/>
      <c r="C451" s="16" t="s">
        <v>110</v>
      </c>
      <c r="D451" s="16" t="s">
        <v>94</v>
      </c>
      <c r="E451" s="21" t="s">
        <v>701</v>
      </c>
      <c r="F451" s="82"/>
      <c r="G451" s="124" t="s">
        <v>702</v>
      </c>
      <c r="H451" s="41">
        <f>H452</f>
        <v>2898.4</v>
      </c>
      <c r="I451" s="41">
        <f t="shared" ref="I451:J451" si="169">I452</f>
        <v>0</v>
      </c>
      <c r="J451" s="41">
        <f t="shared" si="169"/>
        <v>0</v>
      </c>
    </row>
    <row r="452" spans="1:10" x14ac:dyDescent="0.2">
      <c r="A452" s="1"/>
      <c r="B452" s="25"/>
      <c r="C452" s="16" t="s">
        <v>110</v>
      </c>
      <c r="D452" s="16" t="s">
        <v>94</v>
      </c>
      <c r="E452" s="21" t="s">
        <v>701</v>
      </c>
      <c r="F452" s="82" t="s">
        <v>248</v>
      </c>
      <c r="G452" s="102" t="s">
        <v>247</v>
      </c>
      <c r="H452" s="41">
        <v>2898.4</v>
      </c>
      <c r="I452" s="41">
        <v>0</v>
      </c>
      <c r="J452" s="41">
        <v>0</v>
      </c>
    </row>
    <row r="453" spans="1:10" ht="89.25" x14ac:dyDescent="0.2">
      <c r="A453" s="1"/>
      <c r="B453" s="25"/>
      <c r="C453" s="16" t="s">
        <v>110</v>
      </c>
      <c r="D453" s="16" t="s">
        <v>94</v>
      </c>
      <c r="E453" s="21" t="s">
        <v>277</v>
      </c>
      <c r="F453" s="35"/>
      <c r="G453" s="97" t="s">
        <v>560</v>
      </c>
      <c r="H453" s="39">
        <f>H454</f>
        <v>5072.3</v>
      </c>
      <c r="I453" s="39">
        <f t="shared" ref="I453:J453" si="170">I454</f>
        <v>1690.8</v>
      </c>
      <c r="J453" s="39">
        <f t="shared" si="170"/>
        <v>3381.5</v>
      </c>
    </row>
    <row r="454" spans="1:10" ht="51" x14ac:dyDescent="0.2">
      <c r="A454" s="1"/>
      <c r="B454" s="25"/>
      <c r="C454" s="16" t="s">
        <v>110</v>
      </c>
      <c r="D454" s="16" t="s">
        <v>94</v>
      </c>
      <c r="E454" s="79" t="s">
        <v>696</v>
      </c>
      <c r="F454" s="16"/>
      <c r="G454" s="98" t="s">
        <v>168</v>
      </c>
      <c r="H454" s="39">
        <f>H455</f>
        <v>5072.3</v>
      </c>
      <c r="I454" s="39">
        <f>I455</f>
        <v>1690.8</v>
      </c>
      <c r="J454" s="39">
        <f>J455</f>
        <v>3381.5</v>
      </c>
    </row>
    <row r="455" spans="1:10" x14ac:dyDescent="0.2">
      <c r="A455" s="1"/>
      <c r="B455" s="25"/>
      <c r="C455" s="16" t="s">
        <v>110</v>
      </c>
      <c r="D455" s="16" t="s">
        <v>94</v>
      </c>
      <c r="E455" s="79" t="s">
        <v>696</v>
      </c>
      <c r="F455" s="82" t="s">
        <v>248</v>
      </c>
      <c r="G455" s="102" t="s">
        <v>247</v>
      </c>
      <c r="H455" s="39">
        <v>5072.3</v>
      </c>
      <c r="I455" s="39">
        <v>1690.8</v>
      </c>
      <c r="J455" s="39">
        <v>3381.5</v>
      </c>
    </row>
    <row r="456" spans="1:10" ht="27" customHeight="1" x14ac:dyDescent="0.2">
      <c r="A456" s="1"/>
      <c r="B456" s="25"/>
      <c r="C456" s="16" t="s">
        <v>110</v>
      </c>
      <c r="D456" s="16" t="s">
        <v>94</v>
      </c>
      <c r="E456" s="21" t="s">
        <v>300</v>
      </c>
      <c r="F456" s="82"/>
      <c r="G456" s="104" t="s">
        <v>620</v>
      </c>
      <c r="H456" s="41">
        <f t="shared" ref="H456:J457" si="171">H457</f>
        <v>14490.6</v>
      </c>
      <c r="I456" s="41">
        <f t="shared" si="171"/>
        <v>2868.9</v>
      </c>
      <c r="J456" s="41">
        <f t="shared" si="171"/>
        <v>2854.2</v>
      </c>
    </row>
    <row r="457" spans="1:10" ht="51" x14ac:dyDescent="0.2">
      <c r="A457" s="1"/>
      <c r="B457" s="25"/>
      <c r="C457" s="16" t="s">
        <v>110</v>
      </c>
      <c r="D457" s="16" t="s">
        <v>94</v>
      </c>
      <c r="E457" s="74" t="s">
        <v>330</v>
      </c>
      <c r="F457" s="16"/>
      <c r="G457" s="98" t="s">
        <v>317</v>
      </c>
      <c r="H457" s="94">
        <f t="shared" si="171"/>
        <v>14490.6</v>
      </c>
      <c r="I457" s="94">
        <f t="shared" si="171"/>
        <v>2868.9</v>
      </c>
      <c r="J457" s="94">
        <f t="shared" si="171"/>
        <v>2854.2</v>
      </c>
    </row>
    <row r="458" spans="1:10" ht="38.25" x14ac:dyDescent="0.2">
      <c r="A458" s="1"/>
      <c r="B458" s="25"/>
      <c r="C458" s="16" t="s">
        <v>110</v>
      </c>
      <c r="D458" s="16" t="s">
        <v>94</v>
      </c>
      <c r="E458" s="74" t="s">
        <v>330</v>
      </c>
      <c r="F458" s="82" t="s">
        <v>260</v>
      </c>
      <c r="G458" s="98" t="s">
        <v>249</v>
      </c>
      <c r="H458" s="94">
        <f>2854.2+11592.5+43.9</f>
        <v>14490.6</v>
      </c>
      <c r="I458" s="94">
        <v>2868.9</v>
      </c>
      <c r="J458" s="94">
        <v>2854.2</v>
      </c>
    </row>
    <row r="459" spans="1:10" ht="16.5" customHeight="1" x14ac:dyDescent="0.25">
      <c r="A459" s="1"/>
      <c r="B459" s="25"/>
      <c r="C459" s="4" t="s">
        <v>122</v>
      </c>
      <c r="D459" s="3"/>
      <c r="E459" s="3"/>
      <c r="F459" s="3"/>
      <c r="G459" s="49" t="s">
        <v>8</v>
      </c>
      <c r="H459" s="92">
        <f t="shared" ref="H459:J459" si="172">H460</f>
        <v>4480.7</v>
      </c>
      <c r="I459" s="92">
        <f t="shared" si="172"/>
        <v>3538</v>
      </c>
      <c r="J459" s="92">
        <f t="shared" si="172"/>
        <v>3538</v>
      </c>
    </row>
    <row r="460" spans="1:10" ht="28.5" x14ac:dyDescent="0.2">
      <c r="A460" s="1"/>
      <c r="B460" s="25"/>
      <c r="C460" s="35" t="s">
        <v>122</v>
      </c>
      <c r="D460" s="35" t="s">
        <v>94</v>
      </c>
      <c r="E460" s="35"/>
      <c r="F460" s="35"/>
      <c r="G460" s="50" t="s">
        <v>14</v>
      </c>
      <c r="H460" s="40">
        <f t="shared" ref="H460" si="173">H462</f>
        <v>4480.7</v>
      </c>
      <c r="I460" s="40">
        <f t="shared" ref="I460:J460" si="174">I462</f>
        <v>3538</v>
      </c>
      <c r="J460" s="40">
        <f t="shared" si="174"/>
        <v>3538</v>
      </c>
    </row>
    <row r="461" spans="1:10" ht="89.25" x14ac:dyDescent="0.2">
      <c r="A461" s="1"/>
      <c r="B461" s="25"/>
      <c r="C461" s="16" t="s">
        <v>122</v>
      </c>
      <c r="D461" s="16" t="s">
        <v>94</v>
      </c>
      <c r="E461" s="74">
        <v>400000000</v>
      </c>
      <c r="F461" s="30"/>
      <c r="G461" s="141" t="s">
        <v>575</v>
      </c>
      <c r="H461" s="96">
        <f t="shared" ref="H461:J461" si="175">H462</f>
        <v>4480.7</v>
      </c>
      <c r="I461" s="96">
        <f t="shared" si="175"/>
        <v>3538</v>
      </c>
      <c r="J461" s="96">
        <f t="shared" si="175"/>
        <v>3538</v>
      </c>
    </row>
    <row r="462" spans="1:10" ht="51" x14ac:dyDescent="0.2">
      <c r="A462" s="1"/>
      <c r="B462" s="25"/>
      <c r="C462" s="47" t="s">
        <v>122</v>
      </c>
      <c r="D462" s="47" t="s">
        <v>94</v>
      </c>
      <c r="E462" s="75">
        <v>420000000</v>
      </c>
      <c r="F462" s="30"/>
      <c r="G462" s="46" t="s">
        <v>232</v>
      </c>
      <c r="H462" s="93">
        <f>H463+H472</f>
        <v>4480.7</v>
      </c>
      <c r="I462" s="93">
        <f t="shared" ref="I462:J462" si="176">I463+I472</f>
        <v>3538</v>
      </c>
      <c r="J462" s="93">
        <f t="shared" si="176"/>
        <v>3538</v>
      </c>
    </row>
    <row r="463" spans="1:10" ht="117" customHeight="1" x14ac:dyDescent="0.2">
      <c r="A463" s="1"/>
      <c r="B463" s="25"/>
      <c r="C463" s="16" t="s">
        <v>122</v>
      </c>
      <c r="D463" s="16" t="s">
        <v>94</v>
      </c>
      <c r="E463" s="74">
        <v>420100000</v>
      </c>
      <c r="F463" s="16"/>
      <c r="G463" s="97" t="s">
        <v>472</v>
      </c>
      <c r="H463" s="41">
        <f>H464+H466+H468+H470</f>
        <v>3245.9</v>
      </c>
      <c r="I463" s="41">
        <f t="shared" ref="I463:J463" si="177">I464+I466+I468+I470</f>
        <v>2525.9</v>
      </c>
      <c r="J463" s="41">
        <f t="shared" si="177"/>
        <v>2525.9</v>
      </c>
    </row>
    <row r="464" spans="1:10" ht="51" x14ac:dyDescent="0.2">
      <c r="A464" s="1"/>
      <c r="B464" s="25"/>
      <c r="C464" s="16" t="s">
        <v>122</v>
      </c>
      <c r="D464" s="16" t="s">
        <v>94</v>
      </c>
      <c r="E464" s="74" t="s">
        <v>473</v>
      </c>
      <c r="F464" s="16"/>
      <c r="G464" s="98" t="s">
        <v>352</v>
      </c>
      <c r="H464" s="41">
        <f>H465</f>
        <v>600</v>
      </c>
      <c r="I464" s="41">
        <f t="shared" ref="I464:J464" si="178">I465</f>
        <v>300</v>
      </c>
      <c r="J464" s="41">
        <f t="shared" si="178"/>
        <v>300</v>
      </c>
    </row>
    <row r="465" spans="1:10" ht="76.5" x14ac:dyDescent="0.2">
      <c r="A465" s="1"/>
      <c r="B465" s="25"/>
      <c r="C465" s="16" t="s">
        <v>122</v>
      </c>
      <c r="D465" s="16" t="s">
        <v>94</v>
      </c>
      <c r="E465" s="74" t="s">
        <v>473</v>
      </c>
      <c r="F465" s="16" t="s">
        <v>19</v>
      </c>
      <c r="G465" s="99" t="s">
        <v>360</v>
      </c>
      <c r="H465" s="41">
        <v>600</v>
      </c>
      <c r="I465" s="41">
        <v>300</v>
      </c>
      <c r="J465" s="41">
        <v>300</v>
      </c>
    </row>
    <row r="466" spans="1:10" ht="63.75" x14ac:dyDescent="0.2">
      <c r="A466" s="1"/>
      <c r="B466" s="25"/>
      <c r="C466" s="16" t="s">
        <v>122</v>
      </c>
      <c r="D466" s="16" t="s">
        <v>94</v>
      </c>
      <c r="E466" s="74">
        <v>420123230</v>
      </c>
      <c r="F466" s="16"/>
      <c r="G466" s="99" t="s">
        <v>661</v>
      </c>
      <c r="H466" s="41">
        <f>H467</f>
        <v>1620</v>
      </c>
      <c r="I466" s="41">
        <f t="shared" ref="I466:J466" si="179">I467</f>
        <v>1300</v>
      </c>
      <c r="J466" s="41">
        <f t="shared" si="179"/>
        <v>1300</v>
      </c>
    </row>
    <row r="467" spans="1:10" ht="38.25" x14ac:dyDescent="0.2">
      <c r="A467" s="1"/>
      <c r="B467" s="25"/>
      <c r="C467" s="16" t="s">
        <v>122</v>
      </c>
      <c r="D467" s="16" t="s">
        <v>94</v>
      </c>
      <c r="E467" s="74">
        <v>420123230</v>
      </c>
      <c r="F467" s="82" t="s">
        <v>211</v>
      </c>
      <c r="G467" s="98" t="s">
        <v>212</v>
      </c>
      <c r="H467" s="41">
        <f>1200+420</f>
        <v>1620</v>
      </c>
      <c r="I467" s="41">
        <v>1300</v>
      </c>
      <c r="J467" s="41">
        <v>1300</v>
      </c>
    </row>
    <row r="468" spans="1:10" ht="38.25" x14ac:dyDescent="0.2">
      <c r="A468" s="1"/>
      <c r="B468" s="25"/>
      <c r="C468" s="16" t="s">
        <v>122</v>
      </c>
      <c r="D468" s="16" t="s">
        <v>94</v>
      </c>
      <c r="E468" s="74">
        <v>420110320</v>
      </c>
      <c r="F468" s="1"/>
      <c r="G468" s="134" t="s">
        <v>474</v>
      </c>
      <c r="H468" s="41">
        <f>H469</f>
        <v>925.9</v>
      </c>
      <c r="I468" s="41">
        <f t="shared" ref="I468:J468" si="180">I469</f>
        <v>925.9</v>
      </c>
      <c r="J468" s="41">
        <f t="shared" si="180"/>
        <v>925.9</v>
      </c>
    </row>
    <row r="469" spans="1:10" ht="76.5" x14ac:dyDescent="0.2">
      <c r="A469" s="1"/>
      <c r="B469" s="25"/>
      <c r="C469" s="16" t="s">
        <v>122</v>
      </c>
      <c r="D469" s="16" t="s">
        <v>94</v>
      </c>
      <c r="E469" s="74">
        <v>420110320</v>
      </c>
      <c r="F469" s="16" t="s">
        <v>19</v>
      </c>
      <c r="G469" s="99" t="s">
        <v>360</v>
      </c>
      <c r="H469" s="41">
        <f>926.8-0.9</f>
        <v>925.9</v>
      </c>
      <c r="I469" s="41">
        <f t="shared" ref="I469:J469" si="181">926.8-0.9</f>
        <v>925.9</v>
      </c>
      <c r="J469" s="41">
        <f t="shared" si="181"/>
        <v>925.9</v>
      </c>
    </row>
    <row r="470" spans="1:10" ht="38.25" x14ac:dyDescent="0.2">
      <c r="A470" s="1"/>
      <c r="B470" s="25"/>
      <c r="C470" s="16" t="s">
        <v>122</v>
      </c>
      <c r="D470" s="16" t="s">
        <v>94</v>
      </c>
      <c r="E470" s="74" t="s">
        <v>475</v>
      </c>
      <c r="F470" s="16"/>
      <c r="G470" s="99" t="s">
        <v>476</v>
      </c>
      <c r="H470" s="41">
        <f>H471</f>
        <v>100</v>
      </c>
      <c r="I470" s="41">
        <f t="shared" ref="I470:J470" si="182">I471</f>
        <v>0</v>
      </c>
      <c r="J470" s="41">
        <f t="shared" si="182"/>
        <v>0</v>
      </c>
    </row>
    <row r="471" spans="1:10" ht="76.5" x14ac:dyDescent="0.2">
      <c r="A471" s="1"/>
      <c r="B471" s="25"/>
      <c r="C471" s="16" t="s">
        <v>122</v>
      </c>
      <c r="D471" s="16" t="s">
        <v>94</v>
      </c>
      <c r="E471" s="74" t="s">
        <v>475</v>
      </c>
      <c r="F471" s="16" t="s">
        <v>19</v>
      </c>
      <c r="G471" s="99" t="s">
        <v>360</v>
      </c>
      <c r="H471" s="41">
        <v>100</v>
      </c>
      <c r="I471" s="41">
        <v>0</v>
      </c>
      <c r="J471" s="41">
        <v>0</v>
      </c>
    </row>
    <row r="472" spans="1:10" ht="127.5" x14ac:dyDescent="0.2">
      <c r="A472" s="1"/>
      <c r="B472" s="25"/>
      <c r="C472" s="16" t="s">
        <v>122</v>
      </c>
      <c r="D472" s="16" t="s">
        <v>94</v>
      </c>
      <c r="E472" s="74">
        <v>420200000</v>
      </c>
      <c r="F472" s="16"/>
      <c r="G472" s="97" t="s">
        <v>660</v>
      </c>
      <c r="H472" s="41">
        <f>H473+H475</f>
        <v>1234.8</v>
      </c>
      <c r="I472" s="41">
        <f t="shared" ref="I472:J472" si="183">I473+I475</f>
        <v>1012.0999999999999</v>
      </c>
      <c r="J472" s="41">
        <f t="shared" si="183"/>
        <v>1012.0999999999999</v>
      </c>
    </row>
    <row r="473" spans="1:10" ht="68.25" customHeight="1" x14ac:dyDescent="0.2">
      <c r="A473" s="1"/>
      <c r="B473" s="25"/>
      <c r="C473" s="16" t="s">
        <v>122</v>
      </c>
      <c r="D473" s="16" t="s">
        <v>94</v>
      </c>
      <c r="E473" s="74">
        <v>420223235</v>
      </c>
      <c r="F473" s="30"/>
      <c r="G473" s="98" t="s">
        <v>659</v>
      </c>
      <c r="H473" s="41">
        <f>H474</f>
        <v>686.3</v>
      </c>
      <c r="I473" s="41">
        <f>I474</f>
        <v>575.29999999999995</v>
      </c>
      <c r="J473" s="41">
        <f>J474</f>
        <v>575.29999999999995</v>
      </c>
    </row>
    <row r="474" spans="1:10" ht="38.25" x14ac:dyDescent="0.2">
      <c r="A474" s="1"/>
      <c r="B474" s="25"/>
      <c r="C474" s="16" t="s">
        <v>122</v>
      </c>
      <c r="D474" s="16" t="s">
        <v>94</v>
      </c>
      <c r="E474" s="74">
        <v>420223235</v>
      </c>
      <c r="F474" s="82" t="s">
        <v>211</v>
      </c>
      <c r="G474" s="98" t="s">
        <v>212</v>
      </c>
      <c r="H474" s="41">
        <f>575.3+111</f>
        <v>686.3</v>
      </c>
      <c r="I474" s="41">
        <v>575.29999999999995</v>
      </c>
      <c r="J474" s="41">
        <v>575.29999999999995</v>
      </c>
    </row>
    <row r="475" spans="1:10" ht="63.75" x14ac:dyDescent="0.2">
      <c r="A475" s="1"/>
      <c r="B475" s="25"/>
      <c r="C475" s="16" t="s">
        <v>122</v>
      </c>
      <c r="D475" s="16" t="s">
        <v>94</v>
      </c>
      <c r="E475" s="74">
        <v>420223240</v>
      </c>
      <c r="F475" s="82"/>
      <c r="G475" s="98" t="s">
        <v>658</v>
      </c>
      <c r="H475" s="41">
        <f>H476</f>
        <v>548.5</v>
      </c>
      <c r="I475" s="41">
        <f t="shared" ref="I475:J475" si="184">I476</f>
        <v>436.8</v>
      </c>
      <c r="J475" s="41">
        <f t="shared" si="184"/>
        <v>436.8</v>
      </c>
    </row>
    <row r="476" spans="1:10" ht="38.25" x14ac:dyDescent="0.2">
      <c r="A476" s="1"/>
      <c r="B476" s="25"/>
      <c r="C476" s="16" t="s">
        <v>122</v>
      </c>
      <c r="D476" s="16" t="s">
        <v>94</v>
      </c>
      <c r="E476" s="74">
        <v>420223240</v>
      </c>
      <c r="F476" s="82" t="s">
        <v>211</v>
      </c>
      <c r="G476" s="98" t="s">
        <v>212</v>
      </c>
      <c r="H476" s="41">
        <f>436.8+111.7</f>
        <v>548.5</v>
      </c>
      <c r="I476" s="41">
        <v>436.8</v>
      </c>
      <c r="J476" s="41">
        <v>436.8</v>
      </c>
    </row>
    <row r="477" spans="1:10" s="8" customFormat="1" ht="90" x14ac:dyDescent="0.25">
      <c r="A477" s="3">
        <v>4</v>
      </c>
      <c r="B477" s="91">
        <v>929</v>
      </c>
      <c r="C477" s="13"/>
      <c r="D477" s="13"/>
      <c r="E477" s="13"/>
      <c r="F477" s="13"/>
      <c r="G477" s="14" t="s">
        <v>207</v>
      </c>
      <c r="H477" s="59">
        <f>H478+H617</f>
        <v>703242.1</v>
      </c>
      <c r="I477" s="59">
        <f>I478+I617</f>
        <v>677393.10000000009</v>
      </c>
      <c r="J477" s="59">
        <f>J478+J617</f>
        <v>682389.10000000009</v>
      </c>
    </row>
    <row r="478" spans="1:10" ht="15.75" x14ac:dyDescent="0.25">
      <c r="A478" s="3"/>
      <c r="B478" s="91"/>
      <c r="C478" s="4" t="s">
        <v>104</v>
      </c>
      <c r="D478" s="3"/>
      <c r="E478" s="3"/>
      <c r="F478" s="3"/>
      <c r="G478" s="49" t="s">
        <v>105</v>
      </c>
      <c r="H478" s="59">
        <f>H479+H492+H543+H572+H578</f>
        <v>689252.79999999993</v>
      </c>
      <c r="I478" s="59">
        <f>I479+I492+I543+I572+I578</f>
        <v>663403.80000000005</v>
      </c>
      <c r="J478" s="59">
        <f>J479+J492+J543+J572+J578</f>
        <v>668399.80000000005</v>
      </c>
    </row>
    <row r="479" spans="1:10" s="37" customFormat="1" ht="14.25" x14ac:dyDescent="0.2">
      <c r="A479" s="27"/>
      <c r="B479" s="70"/>
      <c r="C479" s="35" t="s">
        <v>104</v>
      </c>
      <c r="D479" s="35" t="s">
        <v>88</v>
      </c>
      <c r="E479" s="35"/>
      <c r="F479" s="35"/>
      <c r="G479" s="45" t="s">
        <v>107</v>
      </c>
      <c r="H479" s="58">
        <f>H480</f>
        <v>176161.40000000002</v>
      </c>
      <c r="I479" s="58">
        <f t="shared" ref="I479:J479" si="185">I480</f>
        <v>173777.3</v>
      </c>
      <c r="J479" s="58">
        <f t="shared" si="185"/>
        <v>173777.3</v>
      </c>
    </row>
    <row r="480" spans="1:10" s="37" customFormat="1" ht="76.5" x14ac:dyDescent="0.2">
      <c r="A480" s="27"/>
      <c r="B480" s="70"/>
      <c r="C480" s="16" t="s">
        <v>104</v>
      </c>
      <c r="D480" s="16" t="s">
        <v>88</v>
      </c>
      <c r="E480" s="21" t="s">
        <v>73</v>
      </c>
      <c r="F480" s="35"/>
      <c r="G480" s="64" t="s">
        <v>571</v>
      </c>
      <c r="H480" s="62">
        <f t="shared" ref="H480:J480" si="186">H481</f>
        <v>176161.40000000002</v>
      </c>
      <c r="I480" s="62">
        <f t="shared" si="186"/>
        <v>173777.3</v>
      </c>
      <c r="J480" s="62">
        <f t="shared" si="186"/>
        <v>173777.3</v>
      </c>
    </row>
    <row r="481" spans="1:10" s="37" customFormat="1" ht="25.5" x14ac:dyDescent="0.2">
      <c r="A481" s="27"/>
      <c r="B481" s="70"/>
      <c r="C481" s="16" t="s">
        <v>104</v>
      </c>
      <c r="D481" s="16" t="s">
        <v>88</v>
      </c>
      <c r="E481" s="52" t="s">
        <v>74</v>
      </c>
      <c r="F481" s="35"/>
      <c r="G481" s="46" t="s">
        <v>388</v>
      </c>
      <c r="H481" s="94">
        <f>H482+H487</f>
        <v>176161.40000000002</v>
      </c>
      <c r="I481" s="94">
        <f t="shared" ref="I481:J481" si="187">I482+I487</f>
        <v>173777.3</v>
      </c>
      <c r="J481" s="94">
        <f t="shared" si="187"/>
        <v>173777.3</v>
      </c>
    </row>
    <row r="482" spans="1:10" s="37" customFormat="1" ht="51" x14ac:dyDescent="0.2">
      <c r="A482" s="27"/>
      <c r="B482" s="70"/>
      <c r="C482" s="56" t="s">
        <v>104</v>
      </c>
      <c r="D482" s="56" t="s">
        <v>88</v>
      </c>
      <c r="E482" s="21" t="s">
        <v>332</v>
      </c>
      <c r="F482" s="35"/>
      <c r="G482" s="97" t="s">
        <v>389</v>
      </c>
      <c r="H482" s="94">
        <f>H483+H485</f>
        <v>175639.2</v>
      </c>
      <c r="I482" s="94">
        <f>I483+I485</f>
        <v>173777.3</v>
      </c>
      <c r="J482" s="94">
        <f>J483+J485</f>
        <v>173777.3</v>
      </c>
    </row>
    <row r="483" spans="1:10" s="37" customFormat="1" ht="54" customHeight="1" x14ac:dyDescent="0.2">
      <c r="A483" s="27"/>
      <c r="B483" s="70"/>
      <c r="C483" s="56" t="s">
        <v>104</v>
      </c>
      <c r="D483" s="56" t="s">
        <v>88</v>
      </c>
      <c r="E483" s="21" t="s">
        <v>379</v>
      </c>
      <c r="F483" s="21"/>
      <c r="G483" s="98" t="s">
        <v>378</v>
      </c>
      <c r="H483" s="94">
        <f>H484</f>
        <v>101091.8</v>
      </c>
      <c r="I483" s="94">
        <f t="shared" ref="I483:J483" si="188">I484</f>
        <v>100956.2</v>
      </c>
      <c r="J483" s="94">
        <f t="shared" si="188"/>
        <v>100956.2</v>
      </c>
    </row>
    <row r="484" spans="1:10" s="37" customFormat="1" ht="14.25" x14ac:dyDescent="0.2">
      <c r="A484" s="27"/>
      <c r="B484" s="70"/>
      <c r="C484" s="56" t="s">
        <v>104</v>
      </c>
      <c r="D484" s="56" t="s">
        <v>88</v>
      </c>
      <c r="E484" s="21" t="s">
        <v>379</v>
      </c>
      <c r="F484" s="21" t="s">
        <v>225</v>
      </c>
      <c r="G484" s="98" t="s">
        <v>224</v>
      </c>
      <c r="H484" s="1">
        <f>94397.6+6694.2</f>
        <v>101091.8</v>
      </c>
      <c r="I484" s="1">
        <f>94400.5+6555.7</f>
        <v>100956.2</v>
      </c>
      <c r="J484" s="1">
        <f>94400.5+6555.7</f>
        <v>100956.2</v>
      </c>
    </row>
    <row r="485" spans="1:10" s="37" customFormat="1" ht="76.5" x14ac:dyDescent="0.25">
      <c r="A485" s="27"/>
      <c r="B485" s="70"/>
      <c r="C485" s="56" t="s">
        <v>104</v>
      </c>
      <c r="D485" s="56" t="s">
        <v>88</v>
      </c>
      <c r="E485" s="131" t="s">
        <v>381</v>
      </c>
      <c r="F485" s="21"/>
      <c r="G485" s="98" t="s">
        <v>380</v>
      </c>
      <c r="H485" s="94">
        <f>H486</f>
        <v>74547.400000000009</v>
      </c>
      <c r="I485" s="94">
        <f t="shared" ref="I485:J485" si="189">I486</f>
        <v>72821.100000000006</v>
      </c>
      <c r="J485" s="94">
        <f t="shared" si="189"/>
        <v>72821.100000000006</v>
      </c>
    </row>
    <row r="486" spans="1:10" s="37" customFormat="1" ht="15" x14ac:dyDescent="0.25">
      <c r="A486" s="27"/>
      <c r="B486" s="70"/>
      <c r="C486" s="56" t="s">
        <v>104</v>
      </c>
      <c r="D486" s="56" t="s">
        <v>88</v>
      </c>
      <c r="E486" s="131" t="s">
        <v>381</v>
      </c>
      <c r="F486" s="21" t="s">
        <v>225</v>
      </c>
      <c r="G486" s="98" t="s">
        <v>224</v>
      </c>
      <c r="H486" s="94">
        <f>72821.1+2851.3-1125</f>
        <v>74547.400000000009</v>
      </c>
      <c r="I486" s="94">
        <v>72821.100000000006</v>
      </c>
      <c r="J486" s="94">
        <v>72821.100000000006</v>
      </c>
    </row>
    <row r="487" spans="1:10" s="37" customFormat="1" ht="38.25" x14ac:dyDescent="0.2">
      <c r="A487" s="27"/>
      <c r="B487" s="70"/>
      <c r="C487" s="56" t="s">
        <v>104</v>
      </c>
      <c r="D487" s="56" t="s">
        <v>88</v>
      </c>
      <c r="E487" s="21" t="s">
        <v>282</v>
      </c>
      <c r="F487" s="35"/>
      <c r="G487" s="97" t="s">
        <v>382</v>
      </c>
      <c r="H487" s="94">
        <f>H488+H490</f>
        <v>522.20000000000005</v>
      </c>
      <c r="I487" s="94">
        <f t="shared" ref="I487:J487" si="190">I488+I490</f>
        <v>0</v>
      </c>
      <c r="J487" s="94">
        <f t="shared" si="190"/>
        <v>0</v>
      </c>
    </row>
    <row r="488" spans="1:10" s="37" customFormat="1" ht="51" x14ac:dyDescent="0.2">
      <c r="A488" s="27"/>
      <c r="B488" s="70"/>
      <c r="C488" s="56" t="s">
        <v>104</v>
      </c>
      <c r="D488" s="56" t="s">
        <v>88</v>
      </c>
      <c r="E488" s="21" t="s">
        <v>384</v>
      </c>
      <c r="F488" s="57"/>
      <c r="G488" s="97" t="s">
        <v>383</v>
      </c>
      <c r="H488" s="94">
        <f>H489</f>
        <v>342.9</v>
      </c>
      <c r="I488" s="94">
        <f t="shared" ref="I488:J488" si="191">I489</f>
        <v>0</v>
      </c>
      <c r="J488" s="94">
        <f t="shared" si="191"/>
        <v>0</v>
      </c>
    </row>
    <row r="489" spans="1:10" s="37" customFormat="1" ht="14.25" x14ac:dyDescent="0.2">
      <c r="A489" s="27"/>
      <c r="B489" s="70"/>
      <c r="C489" s="56" t="s">
        <v>104</v>
      </c>
      <c r="D489" s="56" t="s">
        <v>88</v>
      </c>
      <c r="E489" s="21" t="s">
        <v>384</v>
      </c>
      <c r="F489" s="21" t="s">
        <v>225</v>
      </c>
      <c r="G489" s="98" t="s">
        <v>224</v>
      </c>
      <c r="H489" s="94">
        <f>120+22.9+200</f>
        <v>342.9</v>
      </c>
      <c r="I489" s="94">
        <v>0</v>
      </c>
      <c r="J489" s="94">
        <v>0</v>
      </c>
    </row>
    <row r="490" spans="1:10" s="37" customFormat="1" ht="63.75" x14ac:dyDescent="0.2">
      <c r="A490" s="27"/>
      <c r="B490" s="70"/>
      <c r="C490" s="56" t="s">
        <v>104</v>
      </c>
      <c r="D490" s="56" t="s">
        <v>88</v>
      </c>
      <c r="E490" s="57" t="s">
        <v>705</v>
      </c>
      <c r="F490" s="21"/>
      <c r="G490" s="98" t="s">
        <v>706</v>
      </c>
      <c r="H490" s="94">
        <f t="shared" ref="H490:J490" si="192">H491</f>
        <v>179.3</v>
      </c>
      <c r="I490" s="94">
        <f t="shared" si="192"/>
        <v>0</v>
      </c>
      <c r="J490" s="94">
        <f t="shared" si="192"/>
        <v>0</v>
      </c>
    </row>
    <row r="491" spans="1:10" s="37" customFormat="1" ht="14.25" x14ac:dyDescent="0.2">
      <c r="A491" s="27"/>
      <c r="B491" s="70"/>
      <c r="C491" s="56" t="s">
        <v>104</v>
      </c>
      <c r="D491" s="56" t="s">
        <v>88</v>
      </c>
      <c r="E491" s="57" t="s">
        <v>705</v>
      </c>
      <c r="F491" s="21" t="s">
        <v>225</v>
      </c>
      <c r="G491" s="98" t="s">
        <v>224</v>
      </c>
      <c r="H491" s="94">
        <v>179.3</v>
      </c>
      <c r="I491" s="94">
        <f t="shared" ref="I491:J491" si="193">150-150</f>
        <v>0</v>
      </c>
      <c r="J491" s="94">
        <f t="shared" si="193"/>
        <v>0</v>
      </c>
    </row>
    <row r="492" spans="1:10" s="37" customFormat="1" ht="14.25" x14ac:dyDescent="0.2">
      <c r="A492" s="27"/>
      <c r="B492" s="70"/>
      <c r="C492" s="35" t="s">
        <v>104</v>
      </c>
      <c r="D492" s="35" t="s">
        <v>89</v>
      </c>
      <c r="E492" s="35"/>
      <c r="F492" s="35"/>
      <c r="G492" s="45" t="s">
        <v>108</v>
      </c>
      <c r="H492" s="42">
        <f>H493+H540</f>
        <v>444120.10000000003</v>
      </c>
      <c r="I492" s="42">
        <f>I493+I540</f>
        <v>422236.39999999997</v>
      </c>
      <c r="J492" s="42">
        <f>J493+J540</f>
        <v>427232.4</v>
      </c>
    </row>
    <row r="493" spans="1:10" s="37" customFormat="1" ht="77.25" x14ac:dyDescent="0.25">
      <c r="A493" s="27"/>
      <c r="B493" s="70"/>
      <c r="C493" s="16" t="s">
        <v>104</v>
      </c>
      <c r="D493" s="16" t="s">
        <v>89</v>
      </c>
      <c r="E493" s="21" t="s">
        <v>73</v>
      </c>
      <c r="F493" s="35"/>
      <c r="G493" s="64" t="s">
        <v>571</v>
      </c>
      <c r="H493" s="65">
        <f>H494</f>
        <v>443770.10000000003</v>
      </c>
      <c r="I493" s="65">
        <f t="shared" ref="I493:J493" si="194">I494</f>
        <v>422236.39999999997</v>
      </c>
      <c r="J493" s="65">
        <f t="shared" si="194"/>
        <v>427232.4</v>
      </c>
    </row>
    <row r="494" spans="1:10" s="37" customFormat="1" ht="39.75" customHeight="1" x14ac:dyDescent="0.2">
      <c r="A494" s="27"/>
      <c r="B494" s="70"/>
      <c r="C494" s="47" t="s">
        <v>104</v>
      </c>
      <c r="D494" s="47" t="s">
        <v>89</v>
      </c>
      <c r="E494" s="52" t="s">
        <v>75</v>
      </c>
      <c r="F494" s="21"/>
      <c r="G494" s="46" t="s">
        <v>559</v>
      </c>
      <c r="H494" s="94">
        <f>H495+H502+H511+H518+H523+H534+H537</f>
        <v>443770.10000000003</v>
      </c>
      <c r="I494" s="94">
        <f>I495+I502+I511+I518+I523+I534+I537</f>
        <v>422236.39999999997</v>
      </c>
      <c r="J494" s="94">
        <f>J495+J502+J511+J518+J523+J534+J537</f>
        <v>427232.4</v>
      </c>
    </row>
    <row r="495" spans="1:10" s="37" customFormat="1" ht="65.25" customHeight="1" x14ac:dyDescent="0.2">
      <c r="A495" s="27"/>
      <c r="B495" s="70"/>
      <c r="C495" s="56" t="s">
        <v>104</v>
      </c>
      <c r="D495" s="90" t="s">
        <v>89</v>
      </c>
      <c r="E495" s="21" t="s">
        <v>287</v>
      </c>
      <c r="F495" s="35"/>
      <c r="G495" s="97" t="s">
        <v>390</v>
      </c>
      <c r="H495" s="94">
        <f>H496+H498+H500</f>
        <v>381112.50000000006</v>
      </c>
      <c r="I495" s="94">
        <f>I496+I498+I500</f>
        <v>374105</v>
      </c>
      <c r="J495" s="94">
        <f t="shared" ref="J495" si="195">J496+J498+J500</f>
        <v>374105</v>
      </c>
    </row>
    <row r="496" spans="1:10" s="37" customFormat="1" ht="76.5" x14ac:dyDescent="0.2">
      <c r="A496" s="27"/>
      <c r="B496" s="70"/>
      <c r="C496" s="56" t="s">
        <v>104</v>
      </c>
      <c r="D496" s="90" t="s">
        <v>89</v>
      </c>
      <c r="E496" s="82" t="s">
        <v>392</v>
      </c>
      <c r="F496" s="82"/>
      <c r="G496" s="98" t="s">
        <v>391</v>
      </c>
      <c r="H496" s="94">
        <f>H497</f>
        <v>268148.40000000002</v>
      </c>
      <c r="I496" s="94">
        <f>I497</f>
        <v>267674.5</v>
      </c>
      <c r="J496" s="94">
        <f>J497</f>
        <v>267674.5</v>
      </c>
    </row>
    <row r="497" spans="1:10" s="37" customFormat="1" ht="14.25" x14ac:dyDescent="0.2">
      <c r="A497" s="27"/>
      <c r="B497" s="70"/>
      <c r="C497" s="56" t="s">
        <v>104</v>
      </c>
      <c r="D497" s="90" t="s">
        <v>89</v>
      </c>
      <c r="E497" s="57" t="s">
        <v>392</v>
      </c>
      <c r="F497" s="21" t="s">
        <v>225</v>
      </c>
      <c r="G497" s="98" t="s">
        <v>224</v>
      </c>
      <c r="H497" s="39">
        <f>250542.2-2+17608.2</f>
        <v>268148.40000000002</v>
      </c>
      <c r="I497" s="39">
        <f>250596.1+0.2+17078.2</f>
        <v>267674.5</v>
      </c>
      <c r="J497" s="39">
        <f>250596.1+0.2+17078.2</f>
        <v>267674.5</v>
      </c>
    </row>
    <row r="498" spans="1:10" s="37" customFormat="1" ht="63.75" x14ac:dyDescent="0.2">
      <c r="A498" s="27"/>
      <c r="B498" s="70"/>
      <c r="C498" s="16" t="s">
        <v>104</v>
      </c>
      <c r="D498" s="16" t="s">
        <v>89</v>
      </c>
      <c r="E498" s="57" t="s">
        <v>393</v>
      </c>
      <c r="F498" s="21"/>
      <c r="G498" s="98" t="s">
        <v>286</v>
      </c>
      <c r="H498" s="94">
        <f>H499</f>
        <v>97105.7</v>
      </c>
      <c r="I498" s="94">
        <f>I499</f>
        <v>90572.1</v>
      </c>
      <c r="J498" s="94">
        <f>J499</f>
        <v>90572.1</v>
      </c>
    </row>
    <row r="499" spans="1:10" s="37" customFormat="1" ht="14.25" x14ac:dyDescent="0.2">
      <c r="A499" s="27"/>
      <c r="B499" s="70"/>
      <c r="C499" s="56" t="s">
        <v>104</v>
      </c>
      <c r="D499" s="90" t="s">
        <v>89</v>
      </c>
      <c r="E499" s="57" t="s">
        <v>393</v>
      </c>
      <c r="F499" s="21" t="s">
        <v>225</v>
      </c>
      <c r="G499" s="98" t="s">
        <v>224</v>
      </c>
      <c r="H499" s="94">
        <f>90572.1+3801.7+1686.2+1045.7</f>
        <v>97105.7</v>
      </c>
      <c r="I499" s="94">
        <v>90572.1</v>
      </c>
      <c r="J499" s="94">
        <v>90572.1</v>
      </c>
    </row>
    <row r="500" spans="1:10" s="37" customFormat="1" ht="63.75" x14ac:dyDescent="0.2">
      <c r="A500" s="27"/>
      <c r="B500" s="70"/>
      <c r="C500" s="56" t="s">
        <v>104</v>
      </c>
      <c r="D500" s="90" t="s">
        <v>89</v>
      </c>
      <c r="E500" s="57" t="s">
        <v>749</v>
      </c>
      <c r="F500" s="21"/>
      <c r="G500" s="98" t="s">
        <v>394</v>
      </c>
      <c r="H500" s="94">
        <f>H501</f>
        <v>15858.4</v>
      </c>
      <c r="I500" s="94">
        <f>I501</f>
        <v>15858.4</v>
      </c>
      <c r="J500" s="94">
        <f>J501</f>
        <v>15858.4</v>
      </c>
    </row>
    <row r="501" spans="1:10" s="37" customFormat="1" ht="14.25" x14ac:dyDescent="0.2">
      <c r="A501" s="27"/>
      <c r="B501" s="70"/>
      <c r="C501" s="16" t="s">
        <v>104</v>
      </c>
      <c r="D501" s="16" t="s">
        <v>89</v>
      </c>
      <c r="E501" s="57" t="s">
        <v>749</v>
      </c>
      <c r="F501" s="21" t="s">
        <v>225</v>
      </c>
      <c r="G501" s="98" t="s">
        <v>224</v>
      </c>
      <c r="H501" s="1">
        <v>15858.4</v>
      </c>
      <c r="I501" s="1">
        <v>15858.4</v>
      </c>
      <c r="J501" s="1">
        <v>15858.4</v>
      </c>
    </row>
    <row r="502" spans="1:10" s="37" customFormat="1" ht="38.25" x14ac:dyDescent="0.2">
      <c r="A502" s="27"/>
      <c r="B502" s="70"/>
      <c r="C502" s="16" t="s">
        <v>104</v>
      </c>
      <c r="D502" s="16" t="s">
        <v>89</v>
      </c>
      <c r="E502" s="21" t="s">
        <v>396</v>
      </c>
      <c r="F502" s="82"/>
      <c r="G502" s="97" t="s">
        <v>395</v>
      </c>
      <c r="H502" s="94">
        <f>+H503+H505+H507+H509</f>
        <v>5244.9</v>
      </c>
      <c r="I502" s="94">
        <f t="shared" ref="I502:J502" si="196">+I503+I505+I507+I509</f>
        <v>0</v>
      </c>
      <c r="J502" s="94">
        <f t="shared" si="196"/>
        <v>0</v>
      </c>
    </row>
    <row r="503" spans="1:10" s="37" customFormat="1" ht="51" x14ac:dyDescent="0.2">
      <c r="A503" s="27"/>
      <c r="B503" s="70"/>
      <c r="C503" s="16" t="s">
        <v>104</v>
      </c>
      <c r="D503" s="16" t="s">
        <v>89</v>
      </c>
      <c r="E503" s="57" t="s">
        <v>397</v>
      </c>
      <c r="F503" s="21"/>
      <c r="G503" s="98" t="s">
        <v>398</v>
      </c>
      <c r="H503" s="94">
        <f>H504</f>
        <v>1154</v>
      </c>
      <c r="I503" s="94">
        <f>I504</f>
        <v>0</v>
      </c>
      <c r="J503" s="94">
        <f>J504</f>
        <v>0</v>
      </c>
    </row>
    <row r="504" spans="1:10" s="37" customFormat="1" ht="14.25" x14ac:dyDescent="0.2">
      <c r="A504" s="27"/>
      <c r="B504" s="70"/>
      <c r="C504" s="16" t="s">
        <v>104</v>
      </c>
      <c r="D504" s="16" t="s">
        <v>89</v>
      </c>
      <c r="E504" s="57" t="s">
        <v>397</v>
      </c>
      <c r="F504" s="21" t="s">
        <v>225</v>
      </c>
      <c r="G504" s="98" t="s">
        <v>224</v>
      </c>
      <c r="H504" s="94">
        <f>454+120.2+700-20.2-100</f>
        <v>1154</v>
      </c>
      <c r="I504" s="94">
        <v>0</v>
      </c>
      <c r="J504" s="94">
        <v>0</v>
      </c>
    </row>
    <row r="505" spans="1:10" s="37" customFormat="1" ht="63.75" x14ac:dyDescent="0.2">
      <c r="A505" s="27"/>
      <c r="B505" s="70"/>
      <c r="C505" s="16" t="s">
        <v>104</v>
      </c>
      <c r="D505" s="16" t="s">
        <v>89</v>
      </c>
      <c r="E505" s="57" t="s">
        <v>399</v>
      </c>
      <c r="F505" s="57"/>
      <c r="G505" s="124" t="s">
        <v>400</v>
      </c>
      <c r="H505" s="94">
        <f>H506</f>
        <v>2249.4</v>
      </c>
      <c r="I505" s="94">
        <f>I506</f>
        <v>0</v>
      </c>
      <c r="J505" s="94">
        <f>J506</f>
        <v>0</v>
      </c>
    </row>
    <row r="506" spans="1:10" s="37" customFormat="1" ht="14.25" x14ac:dyDescent="0.2">
      <c r="A506" s="27"/>
      <c r="B506" s="70"/>
      <c r="C506" s="16" t="s">
        <v>104</v>
      </c>
      <c r="D506" s="16" t="s">
        <v>89</v>
      </c>
      <c r="E506" s="57" t="s">
        <v>399</v>
      </c>
      <c r="F506" s="21" t="s">
        <v>225</v>
      </c>
      <c r="G506" s="98" t="s">
        <v>224</v>
      </c>
      <c r="H506" s="94">
        <f>864.7+1036-120.2+369.4+99.5</f>
        <v>2249.4</v>
      </c>
      <c r="I506" s="94">
        <v>0</v>
      </c>
      <c r="J506" s="94">
        <v>0</v>
      </c>
    </row>
    <row r="507" spans="1:10" s="37" customFormat="1" ht="51" x14ac:dyDescent="0.2">
      <c r="A507" s="27"/>
      <c r="B507" s="70"/>
      <c r="C507" s="16" t="s">
        <v>104</v>
      </c>
      <c r="D507" s="16" t="s">
        <v>89</v>
      </c>
      <c r="E507" s="57" t="s">
        <v>609</v>
      </c>
      <c r="F507" s="21"/>
      <c r="G507" s="98" t="s">
        <v>610</v>
      </c>
      <c r="H507" s="94">
        <f>H508</f>
        <v>841.5</v>
      </c>
      <c r="I507" s="94">
        <f t="shared" ref="I507:J507" si="197">I508</f>
        <v>0</v>
      </c>
      <c r="J507" s="94">
        <f t="shared" si="197"/>
        <v>0</v>
      </c>
    </row>
    <row r="508" spans="1:10" s="37" customFormat="1" ht="14.25" x14ac:dyDescent="0.2">
      <c r="A508" s="27"/>
      <c r="B508" s="70"/>
      <c r="C508" s="16" t="s">
        <v>104</v>
      </c>
      <c r="D508" s="16" t="s">
        <v>89</v>
      </c>
      <c r="E508" s="57" t="s">
        <v>609</v>
      </c>
      <c r="F508" s="21" t="s">
        <v>225</v>
      </c>
      <c r="G508" s="98" t="s">
        <v>224</v>
      </c>
      <c r="H508" s="94">
        <f>500+341.5</f>
        <v>841.5</v>
      </c>
      <c r="I508" s="94">
        <v>0</v>
      </c>
      <c r="J508" s="94">
        <v>0</v>
      </c>
    </row>
    <row r="509" spans="1:10" s="37" customFormat="1" ht="63.75" x14ac:dyDescent="0.2">
      <c r="A509" s="27"/>
      <c r="B509" s="70"/>
      <c r="C509" s="16" t="s">
        <v>104</v>
      </c>
      <c r="D509" s="16" t="s">
        <v>89</v>
      </c>
      <c r="E509" s="57" t="s">
        <v>743</v>
      </c>
      <c r="F509" s="21"/>
      <c r="G509" s="98" t="s">
        <v>744</v>
      </c>
      <c r="H509" s="94">
        <f>H510</f>
        <v>1000</v>
      </c>
      <c r="I509" s="94">
        <f t="shared" ref="I509:J509" si="198">I510</f>
        <v>0</v>
      </c>
      <c r="J509" s="94">
        <f t="shared" si="198"/>
        <v>0</v>
      </c>
    </row>
    <row r="510" spans="1:10" s="37" customFormat="1" ht="14.25" x14ac:dyDescent="0.2">
      <c r="A510" s="27"/>
      <c r="B510" s="70"/>
      <c r="C510" s="16" t="s">
        <v>104</v>
      </c>
      <c r="D510" s="16" t="s">
        <v>89</v>
      </c>
      <c r="E510" s="57" t="s">
        <v>743</v>
      </c>
      <c r="F510" s="21" t="s">
        <v>225</v>
      </c>
      <c r="G510" s="98" t="s">
        <v>224</v>
      </c>
      <c r="H510" s="94">
        <v>1000</v>
      </c>
      <c r="I510" s="94">
        <v>0</v>
      </c>
      <c r="J510" s="94">
        <v>0</v>
      </c>
    </row>
    <row r="511" spans="1:10" s="37" customFormat="1" ht="63.75" x14ac:dyDescent="0.2">
      <c r="A511" s="27"/>
      <c r="B511" s="70"/>
      <c r="C511" s="16" t="s">
        <v>104</v>
      </c>
      <c r="D511" s="16" t="s">
        <v>89</v>
      </c>
      <c r="E511" s="21" t="s">
        <v>401</v>
      </c>
      <c r="F511" s="21"/>
      <c r="G511" s="97" t="s">
        <v>737</v>
      </c>
      <c r="H511" s="94">
        <f>H512+H514+H516</f>
        <v>26803.8</v>
      </c>
      <c r="I511" s="94">
        <f t="shared" ref="I511:J511" si="199">I512+I514+I516</f>
        <v>26638.7</v>
      </c>
      <c r="J511" s="94">
        <f t="shared" si="199"/>
        <v>26563.8</v>
      </c>
    </row>
    <row r="512" spans="1:10" s="37" customFormat="1" ht="38.25" x14ac:dyDescent="0.2">
      <c r="A512" s="27"/>
      <c r="B512" s="70"/>
      <c r="C512" s="16" t="s">
        <v>104</v>
      </c>
      <c r="D512" s="16" t="s">
        <v>89</v>
      </c>
      <c r="E512" s="57" t="s">
        <v>402</v>
      </c>
      <c r="F512" s="21"/>
      <c r="G512" s="98" t="s">
        <v>307</v>
      </c>
      <c r="H512" s="94">
        <f>H513</f>
        <v>5242.3</v>
      </c>
      <c r="I512" s="94">
        <f>I513</f>
        <v>5242.3</v>
      </c>
      <c r="J512" s="94">
        <f>J513</f>
        <v>5242.3</v>
      </c>
    </row>
    <row r="513" spans="1:10" s="37" customFormat="1" ht="14.25" x14ac:dyDescent="0.2">
      <c r="A513" s="27"/>
      <c r="B513" s="70"/>
      <c r="C513" s="16" t="s">
        <v>104</v>
      </c>
      <c r="D513" s="16" t="s">
        <v>89</v>
      </c>
      <c r="E513" s="57" t="s">
        <v>402</v>
      </c>
      <c r="F513" s="21" t="s">
        <v>225</v>
      </c>
      <c r="G513" s="98" t="s">
        <v>224</v>
      </c>
      <c r="H513" s="39">
        <v>5242.3</v>
      </c>
      <c r="I513" s="39">
        <v>5242.3</v>
      </c>
      <c r="J513" s="39">
        <v>5242.3</v>
      </c>
    </row>
    <row r="514" spans="1:10" s="37" customFormat="1" ht="76.5" x14ac:dyDescent="0.2">
      <c r="A514" s="27"/>
      <c r="B514" s="70"/>
      <c r="C514" s="16" t="s">
        <v>104</v>
      </c>
      <c r="D514" s="16" t="s">
        <v>89</v>
      </c>
      <c r="E514" s="21" t="s">
        <v>403</v>
      </c>
      <c r="F514" s="21"/>
      <c r="G514" s="98" t="s">
        <v>135</v>
      </c>
      <c r="H514" s="94">
        <f>H515</f>
        <v>21321.5</v>
      </c>
      <c r="I514" s="94">
        <f>I515</f>
        <v>21321.5</v>
      </c>
      <c r="J514" s="94">
        <f>J515</f>
        <v>21321.5</v>
      </c>
    </row>
    <row r="515" spans="1:10" s="37" customFormat="1" ht="14.25" x14ac:dyDescent="0.2">
      <c r="A515" s="27"/>
      <c r="B515" s="70"/>
      <c r="C515" s="82" t="s">
        <v>104</v>
      </c>
      <c r="D515" s="16" t="s">
        <v>89</v>
      </c>
      <c r="E515" s="21" t="s">
        <v>403</v>
      </c>
      <c r="F515" s="21" t="s">
        <v>225</v>
      </c>
      <c r="G515" s="98" t="s">
        <v>224</v>
      </c>
      <c r="H515" s="94">
        <v>21321.5</v>
      </c>
      <c r="I515" s="94">
        <v>21321.5</v>
      </c>
      <c r="J515" s="94">
        <v>21321.5</v>
      </c>
    </row>
    <row r="516" spans="1:10" s="37" customFormat="1" ht="76.5" x14ac:dyDescent="0.2">
      <c r="A516" s="27"/>
      <c r="B516" s="70"/>
      <c r="C516" s="16" t="s">
        <v>104</v>
      </c>
      <c r="D516" s="16" t="s">
        <v>89</v>
      </c>
      <c r="E516" s="21" t="s">
        <v>404</v>
      </c>
      <c r="F516" s="21"/>
      <c r="G516" s="98" t="s">
        <v>569</v>
      </c>
      <c r="H516" s="94">
        <f>H517</f>
        <v>240</v>
      </c>
      <c r="I516" s="94">
        <f>I517</f>
        <v>74.900000000000006</v>
      </c>
      <c r="J516" s="94">
        <f>J517</f>
        <v>0</v>
      </c>
    </row>
    <row r="517" spans="1:10" s="37" customFormat="1" ht="14.25" x14ac:dyDescent="0.2">
      <c r="A517" s="27"/>
      <c r="B517" s="70"/>
      <c r="C517" s="16" t="s">
        <v>104</v>
      </c>
      <c r="D517" s="16" t="s">
        <v>89</v>
      </c>
      <c r="E517" s="21" t="s">
        <v>404</v>
      </c>
      <c r="F517" s="21" t="s">
        <v>225</v>
      </c>
      <c r="G517" s="98" t="s">
        <v>224</v>
      </c>
      <c r="H517" s="41">
        <v>240</v>
      </c>
      <c r="I517" s="41">
        <v>74.900000000000006</v>
      </c>
      <c r="J517" s="41">
        <v>0</v>
      </c>
    </row>
    <row r="518" spans="1:10" s="37" customFormat="1" ht="51" x14ac:dyDescent="0.2">
      <c r="A518" s="27"/>
      <c r="B518" s="70"/>
      <c r="C518" s="82" t="s">
        <v>104</v>
      </c>
      <c r="D518" s="82" t="s">
        <v>89</v>
      </c>
      <c r="E518" s="21" t="s">
        <v>405</v>
      </c>
      <c r="F518" s="21"/>
      <c r="G518" s="97" t="s">
        <v>406</v>
      </c>
      <c r="H518" s="41">
        <f>H519+H521</f>
        <v>24395.8</v>
      </c>
      <c r="I518" s="41">
        <f t="shared" ref="I518:J518" si="200">I519+I521</f>
        <v>18674.599999999999</v>
      </c>
      <c r="J518" s="41">
        <f t="shared" si="200"/>
        <v>23209.200000000001</v>
      </c>
    </row>
    <row r="519" spans="1:10" s="37" customFormat="1" ht="63.75" x14ac:dyDescent="0.2">
      <c r="A519" s="27"/>
      <c r="B519" s="70"/>
      <c r="C519" s="16" t="s">
        <v>104</v>
      </c>
      <c r="D519" s="16" t="s">
        <v>89</v>
      </c>
      <c r="E519" s="21" t="s">
        <v>643</v>
      </c>
      <c r="F519" s="82"/>
      <c r="G519" s="55" t="s">
        <v>371</v>
      </c>
      <c r="H519" s="41">
        <f>H520</f>
        <v>19143.3</v>
      </c>
      <c r="I519" s="41">
        <f t="shared" ref="I519:J519" si="201">I520</f>
        <v>18674.599999999999</v>
      </c>
      <c r="J519" s="41">
        <f t="shared" si="201"/>
        <v>18296.400000000001</v>
      </c>
    </row>
    <row r="520" spans="1:10" s="37" customFormat="1" ht="14.25" x14ac:dyDescent="0.2">
      <c r="A520" s="27"/>
      <c r="B520" s="70"/>
      <c r="C520" s="16" t="s">
        <v>104</v>
      </c>
      <c r="D520" s="16" t="s">
        <v>89</v>
      </c>
      <c r="E520" s="21" t="s">
        <v>643</v>
      </c>
      <c r="F520" s="21" t="s">
        <v>225</v>
      </c>
      <c r="G520" s="98" t="s">
        <v>224</v>
      </c>
      <c r="H520" s="39">
        <v>19143.3</v>
      </c>
      <c r="I520" s="39">
        <v>18674.599999999999</v>
      </c>
      <c r="J520" s="39">
        <v>18296.400000000001</v>
      </c>
    </row>
    <row r="521" spans="1:10" s="37" customFormat="1" ht="63.75" x14ac:dyDescent="0.2">
      <c r="A521" s="27"/>
      <c r="B521" s="70"/>
      <c r="C521" s="16" t="s">
        <v>104</v>
      </c>
      <c r="D521" s="16" t="s">
        <v>89</v>
      </c>
      <c r="E521" s="57" t="s">
        <v>550</v>
      </c>
      <c r="F521" s="16"/>
      <c r="G521" s="98" t="s">
        <v>551</v>
      </c>
      <c r="H521" s="41">
        <f>H522</f>
        <v>5252.5</v>
      </c>
      <c r="I521" s="41">
        <f t="shared" ref="I521:J521" si="202">I522</f>
        <v>0</v>
      </c>
      <c r="J521" s="41">
        <f t="shared" si="202"/>
        <v>4912.8</v>
      </c>
    </row>
    <row r="522" spans="1:10" s="37" customFormat="1" ht="14.25" x14ac:dyDescent="0.2">
      <c r="A522" s="27"/>
      <c r="B522" s="70"/>
      <c r="C522" s="16" t="s">
        <v>104</v>
      </c>
      <c r="D522" s="16" t="s">
        <v>89</v>
      </c>
      <c r="E522" s="57" t="s">
        <v>550</v>
      </c>
      <c r="F522" s="21" t="s">
        <v>225</v>
      </c>
      <c r="G522" s="98" t="s">
        <v>224</v>
      </c>
      <c r="H522" s="41">
        <v>5252.5</v>
      </c>
      <c r="I522" s="41">
        <v>0</v>
      </c>
      <c r="J522" s="41">
        <v>4912.8</v>
      </c>
    </row>
    <row r="523" spans="1:10" s="37" customFormat="1" ht="38.25" x14ac:dyDescent="0.2">
      <c r="A523" s="27"/>
      <c r="B523" s="70"/>
      <c r="C523" s="16" t="s">
        <v>104</v>
      </c>
      <c r="D523" s="16" t="s">
        <v>89</v>
      </c>
      <c r="E523" s="57" t="s">
        <v>611</v>
      </c>
      <c r="F523" s="21"/>
      <c r="G523" s="148" t="s">
        <v>612</v>
      </c>
      <c r="H523" s="41">
        <f>H524+H526+H528+H530+H532</f>
        <v>1104.2</v>
      </c>
      <c r="I523" s="41">
        <f t="shared" ref="I523:J523" si="203">I524+I526+I528</f>
        <v>250</v>
      </c>
      <c r="J523" s="41">
        <f t="shared" si="203"/>
        <v>250</v>
      </c>
    </row>
    <row r="524" spans="1:10" s="37" customFormat="1" ht="51" x14ac:dyDescent="0.2">
      <c r="A524" s="27"/>
      <c r="B524" s="70"/>
      <c r="C524" s="16" t="s">
        <v>104</v>
      </c>
      <c r="D524" s="16" t="s">
        <v>89</v>
      </c>
      <c r="E524" s="57" t="s">
        <v>677</v>
      </c>
      <c r="F524" s="21"/>
      <c r="G524" s="97" t="s">
        <v>678</v>
      </c>
      <c r="H524" s="41">
        <f>H525</f>
        <v>0</v>
      </c>
      <c r="I524" s="41">
        <f>I525</f>
        <v>250</v>
      </c>
      <c r="J524" s="41">
        <f>J525</f>
        <v>250</v>
      </c>
    </row>
    <row r="525" spans="1:10" s="37" customFormat="1" ht="14.25" x14ac:dyDescent="0.2">
      <c r="A525" s="27"/>
      <c r="B525" s="70"/>
      <c r="C525" s="16" t="s">
        <v>104</v>
      </c>
      <c r="D525" s="16" t="s">
        <v>89</v>
      </c>
      <c r="E525" s="57" t="s">
        <v>677</v>
      </c>
      <c r="F525" s="21" t="s">
        <v>225</v>
      </c>
      <c r="G525" s="98" t="s">
        <v>224</v>
      </c>
      <c r="H525" s="41">
        <v>0</v>
      </c>
      <c r="I525" s="41">
        <v>250</v>
      </c>
      <c r="J525" s="41">
        <v>250</v>
      </c>
    </row>
    <row r="526" spans="1:10" s="37" customFormat="1" ht="51" x14ac:dyDescent="0.2">
      <c r="A526" s="27"/>
      <c r="B526" s="70"/>
      <c r="C526" s="16" t="s">
        <v>104</v>
      </c>
      <c r="D526" s="16" t="s">
        <v>89</v>
      </c>
      <c r="E526" s="57" t="s">
        <v>714</v>
      </c>
      <c r="F526" s="21"/>
      <c r="G526" s="97" t="s">
        <v>716</v>
      </c>
      <c r="H526" s="41">
        <f>H527</f>
        <v>208.1</v>
      </c>
      <c r="I526" s="41">
        <f t="shared" ref="I526:J526" si="204">I527</f>
        <v>0</v>
      </c>
      <c r="J526" s="41">
        <f t="shared" si="204"/>
        <v>0</v>
      </c>
    </row>
    <row r="527" spans="1:10" s="37" customFormat="1" ht="14.25" x14ac:dyDescent="0.2">
      <c r="A527" s="27"/>
      <c r="B527" s="70"/>
      <c r="C527" s="16" t="s">
        <v>104</v>
      </c>
      <c r="D527" s="16" t="s">
        <v>89</v>
      </c>
      <c r="E527" s="57" t="s">
        <v>714</v>
      </c>
      <c r="F527" s="21" t="s">
        <v>225</v>
      </c>
      <c r="G527" s="98" t="s">
        <v>224</v>
      </c>
      <c r="H527" s="41">
        <f>125+90-6.9</f>
        <v>208.1</v>
      </c>
      <c r="I527" s="41">
        <v>0</v>
      </c>
      <c r="J527" s="41">
        <v>0</v>
      </c>
    </row>
    <row r="528" spans="1:10" s="37" customFormat="1" ht="38.25" x14ac:dyDescent="0.2">
      <c r="A528" s="27"/>
      <c r="B528" s="70"/>
      <c r="C528" s="16" t="s">
        <v>104</v>
      </c>
      <c r="D528" s="16" t="s">
        <v>89</v>
      </c>
      <c r="E528" s="57" t="s">
        <v>715</v>
      </c>
      <c r="F528" s="21"/>
      <c r="G528" s="97" t="s">
        <v>745</v>
      </c>
      <c r="H528" s="41">
        <f>H529</f>
        <v>215</v>
      </c>
      <c r="I528" s="41">
        <f t="shared" ref="I528:J528" si="205">I529</f>
        <v>0</v>
      </c>
      <c r="J528" s="41">
        <f t="shared" si="205"/>
        <v>0</v>
      </c>
    </row>
    <row r="529" spans="1:10" s="37" customFormat="1" ht="14.25" x14ac:dyDescent="0.2">
      <c r="A529" s="27"/>
      <c r="B529" s="70"/>
      <c r="C529" s="16" t="s">
        <v>104</v>
      </c>
      <c r="D529" s="16" t="s">
        <v>89</v>
      </c>
      <c r="E529" s="57" t="s">
        <v>715</v>
      </c>
      <c r="F529" s="21" t="s">
        <v>225</v>
      </c>
      <c r="G529" s="98" t="s">
        <v>224</v>
      </c>
      <c r="H529" s="41">
        <f>125+90</f>
        <v>215</v>
      </c>
      <c r="I529" s="41">
        <v>0</v>
      </c>
      <c r="J529" s="41">
        <v>0</v>
      </c>
    </row>
    <row r="530" spans="1:10" s="37" customFormat="1" ht="51" x14ac:dyDescent="0.2">
      <c r="A530" s="27"/>
      <c r="B530" s="70"/>
      <c r="C530" s="16" t="s">
        <v>104</v>
      </c>
      <c r="D530" s="16" t="s">
        <v>89</v>
      </c>
      <c r="E530" s="57" t="s">
        <v>741</v>
      </c>
      <c r="F530" s="21"/>
      <c r="G530" s="97" t="s">
        <v>716</v>
      </c>
      <c r="H530" s="41">
        <f>H531</f>
        <v>377.5</v>
      </c>
      <c r="I530" s="41">
        <f t="shared" ref="I530:J530" si="206">I531</f>
        <v>0</v>
      </c>
      <c r="J530" s="41">
        <f t="shared" si="206"/>
        <v>0</v>
      </c>
    </row>
    <row r="531" spans="1:10" s="37" customFormat="1" ht="14.25" x14ac:dyDescent="0.2">
      <c r="A531" s="27"/>
      <c r="B531" s="70"/>
      <c r="C531" s="16" t="s">
        <v>104</v>
      </c>
      <c r="D531" s="16" t="s">
        <v>89</v>
      </c>
      <c r="E531" s="57" t="s">
        <v>741</v>
      </c>
      <c r="F531" s="21" t="s">
        <v>225</v>
      </c>
      <c r="G531" s="98" t="s">
        <v>224</v>
      </c>
      <c r="H531" s="41">
        <v>377.5</v>
      </c>
      <c r="I531" s="41">
        <v>0</v>
      </c>
      <c r="J531" s="41">
        <v>0</v>
      </c>
    </row>
    <row r="532" spans="1:10" s="37" customFormat="1" ht="38.25" x14ac:dyDescent="0.2">
      <c r="A532" s="27"/>
      <c r="B532" s="70"/>
      <c r="C532" s="16" t="s">
        <v>104</v>
      </c>
      <c r="D532" s="16" t="s">
        <v>89</v>
      </c>
      <c r="E532" s="57" t="s">
        <v>742</v>
      </c>
      <c r="F532" s="21"/>
      <c r="G532" s="97" t="s">
        <v>745</v>
      </c>
      <c r="H532" s="41">
        <f>H533</f>
        <v>303.60000000000002</v>
      </c>
      <c r="I532" s="41">
        <f t="shared" ref="I532:J532" si="207">I533</f>
        <v>0</v>
      </c>
      <c r="J532" s="41">
        <f t="shared" si="207"/>
        <v>0</v>
      </c>
    </row>
    <row r="533" spans="1:10" s="37" customFormat="1" ht="14.25" x14ac:dyDescent="0.2">
      <c r="A533" s="27"/>
      <c r="B533" s="70"/>
      <c r="C533" s="16" t="s">
        <v>104</v>
      </c>
      <c r="D533" s="16" t="s">
        <v>89</v>
      </c>
      <c r="E533" s="57" t="s">
        <v>742</v>
      </c>
      <c r="F533" s="21" t="s">
        <v>225</v>
      </c>
      <c r="G533" s="98" t="s">
        <v>224</v>
      </c>
      <c r="H533" s="41">
        <v>303.60000000000002</v>
      </c>
      <c r="I533" s="41">
        <v>0</v>
      </c>
      <c r="J533" s="41">
        <v>0</v>
      </c>
    </row>
    <row r="534" spans="1:10" s="37" customFormat="1" ht="51" x14ac:dyDescent="0.2">
      <c r="A534" s="27"/>
      <c r="B534" s="70"/>
      <c r="C534" s="56" t="s">
        <v>104</v>
      </c>
      <c r="D534" s="90" t="s">
        <v>89</v>
      </c>
      <c r="E534" s="57" t="s">
        <v>692</v>
      </c>
      <c r="F534" s="21"/>
      <c r="G534" s="98" t="s">
        <v>652</v>
      </c>
      <c r="H534" s="41">
        <f>H535</f>
        <v>2568.1</v>
      </c>
      <c r="I534" s="41">
        <f t="shared" ref="I534:J534" si="208">I535</f>
        <v>2568.1</v>
      </c>
      <c r="J534" s="41">
        <f t="shared" si="208"/>
        <v>3104.3999999999996</v>
      </c>
    </row>
    <row r="535" spans="1:10" s="37" customFormat="1" ht="63.75" x14ac:dyDescent="0.2">
      <c r="A535" s="27"/>
      <c r="B535" s="70"/>
      <c r="C535" s="56" t="s">
        <v>104</v>
      </c>
      <c r="D535" s="90" t="s">
        <v>89</v>
      </c>
      <c r="E535" s="57" t="s">
        <v>650</v>
      </c>
      <c r="F535" s="21"/>
      <c r="G535" s="98" t="s">
        <v>651</v>
      </c>
      <c r="H535" s="1">
        <f>H536</f>
        <v>2568.1</v>
      </c>
      <c r="I535" s="1">
        <f t="shared" ref="I535:J535" si="209">I536</f>
        <v>2568.1</v>
      </c>
      <c r="J535" s="1">
        <f t="shared" si="209"/>
        <v>3104.3999999999996</v>
      </c>
    </row>
    <row r="536" spans="1:10" s="37" customFormat="1" ht="14.25" x14ac:dyDescent="0.2">
      <c r="A536" s="27"/>
      <c r="B536" s="70"/>
      <c r="C536" s="16" t="s">
        <v>104</v>
      </c>
      <c r="D536" s="16" t="s">
        <v>89</v>
      </c>
      <c r="E536" s="57" t="s">
        <v>650</v>
      </c>
      <c r="F536" s="21" t="s">
        <v>225</v>
      </c>
      <c r="G536" s="98" t="s">
        <v>224</v>
      </c>
      <c r="H536" s="1">
        <f>2567.6+0.5</f>
        <v>2568.1</v>
      </c>
      <c r="I536" s="1">
        <f>2567.6+0.5</f>
        <v>2568.1</v>
      </c>
      <c r="J536" s="1">
        <f>2567.6+536.8</f>
        <v>3104.3999999999996</v>
      </c>
    </row>
    <row r="537" spans="1:10" s="37" customFormat="1" ht="38.25" x14ac:dyDescent="0.2">
      <c r="A537" s="27"/>
      <c r="B537" s="70"/>
      <c r="C537" s="56" t="s">
        <v>104</v>
      </c>
      <c r="D537" s="90" t="s">
        <v>89</v>
      </c>
      <c r="E537" s="57" t="s">
        <v>693</v>
      </c>
      <c r="F537" s="21"/>
      <c r="G537" s="98" t="s">
        <v>694</v>
      </c>
      <c r="H537" s="39">
        <f>H538</f>
        <v>2540.8000000000002</v>
      </c>
      <c r="I537" s="1">
        <f t="shared" ref="I537:J538" si="210">I538</f>
        <v>0</v>
      </c>
      <c r="J537" s="1">
        <f t="shared" si="210"/>
        <v>0</v>
      </c>
    </row>
    <row r="538" spans="1:10" s="37" customFormat="1" ht="88.5" customHeight="1" x14ac:dyDescent="0.2">
      <c r="A538" s="27"/>
      <c r="B538" s="70"/>
      <c r="C538" s="16" t="s">
        <v>104</v>
      </c>
      <c r="D538" s="16" t="s">
        <v>89</v>
      </c>
      <c r="E538" s="57" t="s">
        <v>695</v>
      </c>
      <c r="F538" s="21"/>
      <c r="G538" s="98" t="s">
        <v>707</v>
      </c>
      <c r="H538" s="39">
        <f>H539</f>
        <v>2540.8000000000002</v>
      </c>
      <c r="I538" s="1">
        <f t="shared" si="210"/>
        <v>0</v>
      </c>
      <c r="J538" s="1">
        <f t="shared" si="210"/>
        <v>0</v>
      </c>
    </row>
    <row r="539" spans="1:10" s="37" customFormat="1" ht="14.25" x14ac:dyDescent="0.2">
      <c r="A539" s="27"/>
      <c r="B539" s="70"/>
      <c r="C539" s="56" t="s">
        <v>104</v>
      </c>
      <c r="D539" s="90" t="s">
        <v>89</v>
      </c>
      <c r="E539" s="57" t="s">
        <v>695</v>
      </c>
      <c r="F539" s="21" t="s">
        <v>225</v>
      </c>
      <c r="G539" s="98" t="s">
        <v>224</v>
      </c>
      <c r="H539" s="1">
        <f>25.8+2515</f>
        <v>2540.8000000000002</v>
      </c>
      <c r="I539" s="1">
        <v>0</v>
      </c>
      <c r="J539" s="1">
        <v>0</v>
      </c>
    </row>
    <row r="540" spans="1:10" s="37" customFormat="1" ht="38.25" x14ac:dyDescent="0.2">
      <c r="A540" s="27"/>
      <c r="B540" s="70"/>
      <c r="C540" s="16" t="s">
        <v>104</v>
      </c>
      <c r="D540" s="16" t="s">
        <v>89</v>
      </c>
      <c r="E540" s="82" t="s">
        <v>24</v>
      </c>
      <c r="F540" s="82"/>
      <c r="G540" s="99" t="s">
        <v>38</v>
      </c>
      <c r="H540" s="41">
        <f>H541</f>
        <v>350</v>
      </c>
      <c r="I540" s="41">
        <f t="shared" ref="I540:J540" si="211">I541</f>
        <v>0</v>
      </c>
      <c r="J540" s="41">
        <f t="shared" si="211"/>
        <v>0</v>
      </c>
    </row>
    <row r="541" spans="1:10" s="37" customFormat="1" ht="51" x14ac:dyDescent="0.2">
      <c r="A541" s="27"/>
      <c r="B541" s="70"/>
      <c r="C541" s="16" t="s">
        <v>104</v>
      </c>
      <c r="D541" s="16" t="s">
        <v>89</v>
      </c>
      <c r="E541" s="82" t="s">
        <v>568</v>
      </c>
      <c r="F541" s="16"/>
      <c r="G541" s="54" t="s">
        <v>566</v>
      </c>
      <c r="H541" s="41">
        <f>SUM(H542:H542)</f>
        <v>350</v>
      </c>
      <c r="I541" s="41">
        <f>SUM(I542:I542)</f>
        <v>0</v>
      </c>
      <c r="J541" s="41">
        <f>SUM(J542:J542)</f>
        <v>0</v>
      </c>
    </row>
    <row r="542" spans="1:10" s="37" customFormat="1" ht="14.25" x14ac:dyDescent="0.2">
      <c r="A542" s="27"/>
      <c r="B542" s="70"/>
      <c r="C542" s="16" t="s">
        <v>104</v>
      </c>
      <c r="D542" s="16" t="s">
        <v>89</v>
      </c>
      <c r="E542" s="82" t="s">
        <v>568</v>
      </c>
      <c r="F542" s="21" t="s">
        <v>225</v>
      </c>
      <c r="G542" s="98" t="s">
        <v>224</v>
      </c>
      <c r="H542" s="39">
        <v>350</v>
      </c>
      <c r="I542" s="39">
        <v>0</v>
      </c>
      <c r="J542" s="39">
        <v>0</v>
      </c>
    </row>
    <row r="543" spans="1:10" s="37" customFormat="1" ht="14.25" x14ac:dyDescent="0.2">
      <c r="A543" s="27"/>
      <c r="B543" s="70"/>
      <c r="C543" s="35" t="s">
        <v>104</v>
      </c>
      <c r="D543" s="35" t="s">
        <v>93</v>
      </c>
      <c r="E543" s="35"/>
      <c r="F543" s="35"/>
      <c r="G543" s="46" t="s">
        <v>156</v>
      </c>
      <c r="H543" s="42">
        <f>H544+H569</f>
        <v>52546.69999999999</v>
      </c>
      <c r="I543" s="42">
        <f>I544+I569</f>
        <v>51396.299999999996</v>
      </c>
      <c r="J543" s="42">
        <f>J544+J569</f>
        <v>51396.299999999996</v>
      </c>
    </row>
    <row r="544" spans="1:10" s="37" customFormat="1" ht="76.5" x14ac:dyDescent="0.2">
      <c r="A544" s="27"/>
      <c r="B544" s="70"/>
      <c r="C544" s="5" t="s">
        <v>104</v>
      </c>
      <c r="D544" s="5" t="s">
        <v>93</v>
      </c>
      <c r="E544" s="73" t="s">
        <v>73</v>
      </c>
      <c r="F544" s="21"/>
      <c r="G544" s="64" t="s">
        <v>571</v>
      </c>
      <c r="H544" s="62">
        <f>H545+H565</f>
        <v>52346.69999999999</v>
      </c>
      <c r="I544" s="62">
        <f>I545+I565</f>
        <v>51396.299999999996</v>
      </c>
      <c r="J544" s="62">
        <f>J545+J565</f>
        <v>51396.299999999996</v>
      </c>
    </row>
    <row r="545" spans="1:10" s="37" customFormat="1" ht="38.25" x14ac:dyDescent="0.2">
      <c r="A545" s="27"/>
      <c r="B545" s="70"/>
      <c r="C545" s="16" t="s">
        <v>104</v>
      </c>
      <c r="D545" s="82" t="s">
        <v>93</v>
      </c>
      <c r="E545" s="52" t="s">
        <v>410</v>
      </c>
      <c r="F545" s="35"/>
      <c r="G545" s="46" t="s">
        <v>411</v>
      </c>
      <c r="H545" s="94">
        <f>H546+H558</f>
        <v>52296.69999999999</v>
      </c>
      <c r="I545" s="94">
        <f>I546+I558</f>
        <v>51346.299999999996</v>
      </c>
      <c r="J545" s="94">
        <f>J546+J558</f>
        <v>51346.299999999996</v>
      </c>
    </row>
    <row r="546" spans="1:10" s="37" customFormat="1" ht="51" x14ac:dyDescent="0.2">
      <c r="A546" s="27"/>
      <c r="B546" s="70"/>
      <c r="C546" s="16" t="s">
        <v>104</v>
      </c>
      <c r="D546" s="82" t="s">
        <v>93</v>
      </c>
      <c r="E546" s="21" t="s">
        <v>415</v>
      </c>
      <c r="F546" s="21"/>
      <c r="G546" s="97" t="s">
        <v>412</v>
      </c>
      <c r="H546" s="41">
        <f>H547+H549+H554+H556</f>
        <v>51101.69999999999</v>
      </c>
      <c r="I546" s="41">
        <f t="shared" ref="I546:J546" si="212">I547+I549+I554+I556</f>
        <v>50151.299999999996</v>
      </c>
      <c r="J546" s="41">
        <f t="shared" si="212"/>
        <v>50151.299999999996</v>
      </c>
    </row>
    <row r="547" spans="1:10" s="37" customFormat="1" ht="76.5" x14ac:dyDescent="0.2">
      <c r="A547" s="27"/>
      <c r="B547" s="70"/>
      <c r="C547" s="16" t="s">
        <v>104</v>
      </c>
      <c r="D547" s="82" t="s">
        <v>93</v>
      </c>
      <c r="E547" s="57" t="s">
        <v>414</v>
      </c>
      <c r="F547" s="16"/>
      <c r="G547" s="98" t="s">
        <v>413</v>
      </c>
      <c r="H547" s="94">
        <f>H548</f>
        <v>26143</v>
      </c>
      <c r="I547" s="94">
        <f t="shared" ref="I547:J547" si="213">I548</f>
        <v>36709.5</v>
      </c>
      <c r="J547" s="94">
        <f t="shared" si="213"/>
        <v>36709.5</v>
      </c>
    </row>
    <row r="548" spans="1:10" s="37" customFormat="1" ht="14.25" x14ac:dyDescent="0.2">
      <c r="A548" s="27"/>
      <c r="B548" s="70"/>
      <c r="C548" s="16" t="s">
        <v>104</v>
      </c>
      <c r="D548" s="82" t="s">
        <v>93</v>
      </c>
      <c r="E548" s="57" t="s">
        <v>414</v>
      </c>
      <c r="F548" s="21" t="s">
        <v>225</v>
      </c>
      <c r="G548" s="98" t="s">
        <v>224</v>
      </c>
      <c r="H548" s="94">
        <f>36709.5-11516.9+950.4</f>
        <v>26143</v>
      </c>
      <c r="I548" s="94">
        <v>36709.5</v>
      </c>
      <c r="J548" s="94">
        <v>36709.5</v>
      </c>
    </row>
    <row r="549" spans="1:10" s="37" customFormat="1" ht="41.25" customHeight="1" x14ac:dyDescent="0.2">
      <c r="A549" s="27"/>
      <c r="B549" s="70"/>
      <c r="C549" s="16" t="s">
        <v>104</v>
      </c>
      <c r="D549" s="82" t="s">
        <v>93</v>
      </c>
      <c r="E549" s="57" t="s">
        <v>697</v>
      </c>
      <c r="F549" s="21"/>
      <c r="G549" s="98" t="s">
        <v>698</v>
      </c>
      <c r="H549" s="94">
        <f>SUM(H550:H553)</f>
        <v>11516.899999999998</v>
      </c>
      <c r="I549" s="94">
        <f t="shared" ref="I549:J549" si="214">SUM(I550:I553)</f>
        <v>0</v>
      </c>
      <c r="J549" s="94">
        <f t="shared" si="214"/>
        <v>0</v>
      </c>
    </row>
    <row r="550" spans="1:10" s="37" customFormat="1" ht="14.25" x14ac:dyDescent="0.2">
      <c r="A550" s="27"/>
      <c r="B550" s="70"/>
      <c r="C550" s="16" t="s">
        <v>104</v>
      </c>
      <c r="D550" s="82" t="s">
        <v>93</v>
      </c>
      <c r="E550" s="57" t="s">
        <v>697</v>
      </c>
      <c r="F550" s="21" t="s">
        <v>225</v>
      </c>
      <c r="G550" s="98" t="s">
        <v>224</v>
      </c>
      <c r="H550" s="94">
        <f>10799.6+179.3</f>
        <v>10978.9</v>
      </c>
      <c r="I550" s="94">
        <v>0</v>
      </c>
      <c r="J550" s="94">
        <v>0</v>
      </c>
    </row>
    <row r="551" spans="1:10" s="37" customFormat="1" ht="14.25" x14ac:dyDescent="0.2">
      <c r="A551" s="27"/>
      <c r="B551" s="70"/>
      <c r="C551" s="16" t="s">
        <v>104</v>
      </c>
      <c r="D551" s="82" t="s">
        <v>93</v>
      </c>
      <c r="E551" s="57" t="s">
        <v>697</v>
      </c>
      <c r="F551" s="21" t="s">
        <v>699</v>
      </c>
      <c r="G551" s="98" t="s">
        <v>700</v>
      </c>
      <c r="H551" s="94">
        <v>179.3</v>
      </c>
      <c r="I551" s="94">
        <v>0</v>
      </c>
      <c r="J551" s="94">
        <v>0</v>
      </c>
    </row>
    <row r="552" spans="1:10" s="37" customFormat="1" ht="76.5" x14ac:dyDescent="0.2">
      <c r="A552" s="27"/>
      <c r="B552" s="70"/>
      <c r="C552" s="16" t="s">
        <v>104</v>
      </c>
      <c r="D552" s="82" t="s">
        <v>93</v>
      </c>
      <c r="E552" s="57" t="s">
        <v>697</v>
      </c>
      <c r="F552" s="21" t="s">
        <v>19</v>
      </c>
      <c r="G552" s="98" t="s">
        <v>360</v>
      </c>
      <c r="H552" s="94">
        <v>179.3</v>
      </c>
      <c r="I552" s="94">
        <v>0</v>
      </c>
      <c r="J552" s="94">
        <v>0</v>
      </c>
    </row>
    <row r="553" spans="1:10" s="37" customFormat="1" ht="63.75" x14ac:dyDescent="0.2">
      <c r="A553" s="27"/>
      <c r="B553" s="70"/>
      <c r="C553" s="16" t="s">
        <v>104</v>
      </c>
      <c r="D553" s="82" t="s">
        <v>93</v>
      </c>
      <c r="E553" s="57" t="s">
        <v>697</v>
      </c>
      <c r="F553" s="21" t="s">
        <v>12</v>
      </c>
      <c r="G553" s="98" t="s">
        <v>365</v>
      </c>
      <c r="H553" s="94">
        <v>179.4</v>
      </c>
      <c r="I553" s="94">
        <v>0</v>
      </c>
      <c r="J553" s="94">
        <v>0</v>
      </c>
    </row>
    <row r="554" spans="1:10" s="37" customFormat="1" ht="76.5" x14ac:dyDescent="0.2">
      <c r="A554" s="27"/>
      <c r="B554" s="70"/>
      <c r="C554" s="16" t="s">
        <v>104</v>
      </c>
      <c r="D554" s="82" t="s">
        <v>93</v>
      </c>
      <c r="E554" s="57" t="s">
        <v>416</v>
      </c>
      <c r="F554" s="21"/>
      <c r="G554" s="98" t="s">
        <v>417</v>
      </c>
      <c r="H554" s="94">
        <f>H555</f>
        <v>13313.699999999999</v>
      </c>
      <c r="I554" s="94">
        <f>I555</f>
        <v>13313.699999999999</v>
      </c>
      <c r="J554" s="94">
        <f>J555</f>
        <v>13313.699999999999</v>
      </c>
    </row>
    <row r="555" spans="1:10" s="37" customFormat="1" ht="14.25" x14ac:dyDescent="0.2">
      <c r="A555" s="27"/>
      <c r="B555" s="70"/>
      <c r="C555" s="16" t="s">
        <v>104</v>
      </c>
      <c r="D555" s="82" t="s">
        <v>93</v>
      </c>
      <c r="E555" s="57" t="s">
        <v>416</v>
      </c>
      <c r="F555" s="21" t="s">
        <v>225</v>
      </c>
      <c r="G555" s="98" t="s">
        <v>224</v>
      </c>
      <c r="H555" s="132">
        <f>12678.4+635.3</f>
        <v>13313.699999999999</v>
      </c>
      <c r="I555" s="132">
        <f>12678.4+635.3</f>
        <v>13313.699999999999</v>
      </c>
      <c r="J555" s="132">
        <f>12678.4+635.3</f>
        <v>13313.699999999999</v>
      </c>
    </row>
    <row r="556" spans="1:10" s="37" customFormat="1" ht="76.5" x14ac:dyDescent="0.2">
      <c r="A556" s="27"/>
      <c r="B556" s="70"/>
      <c r="C556" s="16" t="s">
        <v>104</v>
      </c>
      <c r="D556" s="82" t="s">
        <v>93</v>
      </c>
      <c r="E556" s="57" t="s">
        <v>418</v>
      </c>
      <c r="F556" s="57"/>
      <c r="G556" s="98" t="s">
        <v>419</v>
      </c>
      <c r="H556" s="39">
        <f>H557</f>
        <v>128.1</v>
      </c>
      <c r="I556" s="39">
        <f>I557</f>
        <v>128.1</v>
      </c>
      <c r="J556" s="39">
        <f>J557</f>
        <v>128.1</v>
      </c>
    </row>
    <row r="557" spans="1:10" s="37" customFormat="1" ht="14.25" x14ac:dyDescent="0.2">
      <c r="A557" s="27"/>
      <c r="B557" s="70"/>
      <c r="C557" s="16" t="s">
        <v>104</v>
      </c>
      <c r="D557" s="82" t="s">
        <v>93</v>
      </c>
      <c r="E557" s="21" t="s">
        <v>418</v>
      </c>
      <c r="F557" s="21" t="s">
        <v>225</v>
      </c>
      <c r="G557" s="98" t="s">
        <v>224</v>
      </c>
      <c r="H557" s="41">
        <v>128.1</v>
      </c>
      <c r="I557" s="41">
        <v>128.1</v>
      </c>
      <c r="J557" s="41">
        <v>128.1</v>
      </c>
    </row>
    <row r="558" spans="1:10" s="37" customFormat="1" ht="38.25" x14ac:dyDescent="0.2">
      <c r="A558" s="27"/>
      <c r="B558" s="70"/>
      <c r="C558" s="16" t="s">
        <v>104</v>
      </c>
      <c r="D558" s="82" t="s">
        <v>93</v>
      </c>
      <c r="E558" s="21" t="s">
        <v>421</v>
      </c>
      <c r="F558" s="82"/>
      <c r="G558" s="97" t="s">
        <v>420</v>
      </c>
      <c r="H558" s="41">
        <f>H559+H561+H563</f>
        <v>1195</v>
      </c>
      <c r="I558" s="41">
        <f t="shared" ref="I558:J558" si="215">I559+I561+I563</f>
        <v>1195</v>
      </c>
      <c r="J558" s="41">
        <f t="shared" si="215"/>
        <v>1195</v>
      </c>
    </row>
    <row r="559" spans="1:10" s="37" customFormat="1" ht="51" x14ac:dyDescent="0.2">
      <c r="A559" s="27"/>
      <c r="B559" s="70"/>
      <c r="C559" s="16" t="s">
        <v>104</v>
      </c>
      <c r="D559" s="82" t="s">
        <v>93</v>
      </c>
      <c r="E559" s="57" t="s">
        <v>558</v>
      </c>
      <c r="F559" s="21"/>
      <c r="G559" s="108" t="s">
        <v>422</v>
      </c>
      <c r="H559" s="94">
        <f>H560</f>
        <v>795</v>
      </c>
      <c r="I559" s="94">
        <f t="shared" ref="I559:J559" si="216">I560</f>
        <v>795</v>
      </c>
      <c r="J559" s="94">
        <f t="shared" si="216"/>
        <v>795</v>
      </c>
    </row>
    <row r="560" spans="1:10" s="37" customFormat="1" ht="14.25" x14ac:dyDescent="0.2">
      <c r="A560" s="27"/>
      <c r="B560" s="70"/>
      <c r="C560" s="16" t="s">
        <v>104</v>
      </c>
      <c r="D560" s="82" t="s">
        <v>93</v>
      </c>
      <c r="E560" s="57" t="s">
        <v>558</v>
      </c>
      <c r="F560" s="21" t="s">
        <v>225</v>
      </c>
      <c r="G560" s="98" t="s">
        <v>224</v>
      </c>
      <c r="H560" s="94">
        <v>795</v>
      </c>
      <c r="I560" s="94">
        <v>795</v>
      </c>
      <c r="J560" s="94">
        <v>795</v>
      </c>
    </row>
    <row r="561" spans="1:10" s="37" customFormat="1" ht="38.25" x14ac:dyDescent="0.2">
      <c r="A561" s="27"/>
      <c r="B561" s="70"/>
      <c r="C561" s="16" t="s">
        <v>104</v>
      </c>
      <c r="D561" s="82" t="s">
        <v>93</v>
      </c>
      <c r="E561" s="57" t="s">
        <v>423</v>
      </c>
      <c r="F561" s="21"/>
      <c r="G561" s="98" t="s">
        <v>183</v>
      </c>
      <c r="H561" s="41">
        <f>H562</f>
        <v>250</v>
      </c>
      <c r="I561" s="41">
        <f t="shared" ref="I561:J561" si="217">I562</f>
        <v>250</v>
      </c>
      <c r="J561" s="41">
        <f t="shared" si="217"/>
        <v>250</v>
      </c>
    </row>
    <row r="562" spans="1:10" s="37" customFormat="1" ht="14.25" x14ac:dyDescent="0.2">
      <c r="A562" s="27"/>
      <c r="B562" s="70"/>
      <c r="C562" s="16" t="s">
        <v>104</v>
      </c>
      <c r="D562" s="82" t="s">
        <v>93</v>
      </c>
      <c r="E562" s="57" t="s">
        <v>423</v>
      </c>
      <c r="F562" s="21" t="s">
        <v>225</v>
      </c>
      <c r="G562" s="98" t="s">
        <v>224</v>
      </c>
      <c r="H562" s="41">
        <v>250</v>
      </c>
      <c r="I562" s="41">
        <v>250</v>
      </c>
      <c r="J562" s="41">
        <v>250</v>
      </c>
    </row>
    <row r="563" spans="1:10" s="37" customFormat="1" ht="38.25" x14ac:dyDescent="0.2">
      <c r="A563" s="27"/>
      <c r="B563" s="70"/>
      <c r="C563" s="16" t="s">
        <v>104</v>
      </c>
      <c r="D563" s="82" t="s">
        <v>93</v>
      </c>
      <c r="E563" s="57" t="s">
        <v>424</v>
      </c>
      <c r="F563" s="21"/>
      <c r="G563" s="98" t="s">
        <v>425</v>
      </c>
      <c r="H563" s="41">
        <f>H564</f>
        <v>150</v>
      </c>
      <c r="I563" s="41">
        <f t="shared" ref="I563:J563" si="218">I564</f>
        <v>150</v>
      </c>
      <c r="J563" s="41">
        <f t="shared" si="218"/>
        <v>150</v>
      </c>
    </row>
    <row r="564" spans="1:10" s="37" customFormat="1" ht="14.25" x14ac:dyDescent="0.2">
      <c r="A564" s="27"/>
      <c r="B564" s="70"/>
      <c r="C564" s="16" t="s">
        <v>104</v>
      </c>
      <c r="D564" s="82" t="s">
        <v>93</v>
      </c>
      <c r="E564" s="57" t="s">
        <v>424</v>
      </c>
      <c r="F564" s="21" t="s">
        <v>225</v>
      </c>
      <c r="G564" s="98" t="s">
        <v>224</v>
      </c>
      <c r="H564" s="41">
        <v>150</v>
      </c>
      <c r="I564" s="41">
        <v>150</v>
      </c>
      <c r="J564" s="41">
        <v>150</v>
      </c>
    </row>
    <row r="565" spans="1:10" s="37" customFormat="1" ht="28.5" customHeight="1" x14ac:dyDescent="0.2">
      <c r="A565" s="27"/>
      <c r="B565" s="70"/>
      <c r="C565" s="47" t="s">
        <v>104</v>
      </c>
      <c r="D565" s="47" t="s">
        <v>93</v>
      </c>
      <c r="E565" s="52" t="s">
        <v>427</v>
      </c>
      <c r="F565" s="82"/>
      <c r="G565" s="46" t="s">
        <v>426</v>
      </c>
      <c r="H565" s="93">
        <f>H566</f>
        <v>50</v>
      </c>
      <c r="I565" s="93">
        <f t="shared" ref="I565:J565" si="219">I566</f>
        <v>50</v>
      </c>
      <c r="J565" s="93">
        <f t="shared" si="219"/>
        <v>50</v>
      </c>
    </row>
    <row r="566" spans="1:10" s="37" customFormat="1" ht="25.5" x14ac:dyDescent="0.2">
      <c r="A566" s="27"/>
      <c r="B566" s="70"/>
      <c r="C566" s="16" t="s">
        <v>104</v>
      </c>
      <c r="D566" s="82" t="s">
        <v>93</v>
      </c>
      <c r="E566" s="21" t="s">
        <v>428</v>
      </c>
      <c r="F566" s="21"/>
      <c r="G566" s="97" t="s">
        <v>466</v>
      </c>
      <c r="H566" s="41">
        <f>H567</f>
        <v>50</v>
      </c>
      <c r="I566" s="41">
        <f t="shared" ref="I566:J566" si="220">I567</f>
        <v>50</v>
      </c>
      <c r="J566" s="41">
        <f t="shared" si="220"/>
        <v>50</v>
      </c>
    </row>
    <row r="567" spans="1:10" s="37" customFormat="1" ht="76.5" x14ac:dyDescent="0.2">
      <c r="A567" s="27"/>
      <c r="B567" s="70"/>
      <c r="C567" s="16" t="s">
        <v>104</v>
      </c>
      <c r="D567" s="82" t="s">
        <v>93</v>
      </c>
      <c r="E567" s="57" t="s">
        <v>552</v>
      </c>
      <c r="F567" s="16"/>
      <c r="G567" s="98" t="s">
        <v>430</v>
      </c>
      <c r="H567" s="41">
        <f>H568</f>
        <v>50</v>
      </c>
      <c r="I567" s="41">
        <f>I568</f>
        <v>50</v>
      </c>
      <c r="J567" s="41">
        <f>J568</f>
        <v>50</v>
      </c>
    </row>
    <row r="568" spans="1:10" s="37" customFormat="1" ht="14.25" x14ac:dyDescent="0.2">
      <c r="A568" s="27"/>
      <c r="B568" s="70"/>
      <c r="C568" s="16" t="s">
        <v>104</v>
      </c>
      <c r="D568" s="82" t="s">
        <v>93</v>
      </c>
      <c r="E568" s="57" t="s">
        <v>552</v>
      </c>
      <c r="F568" s="21" t="s">
        <v>225</v>
      </c>
      <c r="G568" s="98" t="s">
        <v>224</v>
      </c>
      <c r="H568" s="41">
        <v>50</v>
      </c>
      <c r="I568" s="41">
        <v>50</v>
      </c>
      <c r="J568" s="41">
        <v>50</v>
      </c>
    </row>
    <row r="569" spans="1:10" s="37" customFormat="1" ht="38.25" x14ac:dyDescent="0.2">
      <c r="A569" s="27"/>
      <c r="B569" s="70"/>
      <c r="C569" s="82" t="s">
        <v>104</v>
      </c>
      <c r="D569" s="82" t="s">
        <v>93</v>
      </c>
      <c r="E569" s="82" t="s">
        <v>24</v>
      </c>
      <c r="F569" s="82"/>
      <c r="G569" s="99" t="s">
        <v>38</v>
      </c>
      <c r="H569" s="41">
        <f>H570</f>
        <v>200</v>
      </c>
      <c r="I569" s="41">
        <f t="shared" ref="I569:J569" si="221">I570</f>
        <v>0</v>
      </c>
      <c r="J569" s="41">
        <f t="shared" si="221"/>
        <v>0</v>
      </c>
    </row>
    <row r="570" spans="1:10" s="37" customFormat="1" ht="51" x14ac:dyDescent="0.2">
      <c r="A570" s="27"/>
      <c r="B570" s="70"/>
      <c r="C570" s="16" t="s">
        <v>104</v>
      </c>
      <c r="D570" s="82" t="s">
        <v>93</v>
      </c>
      <c r="E570" s="82" t="s">
        <v>568</v>
      </c>
      <c r="F570" s="16"/>
      <c r="G570" s="54" t="s">
        <v>566</v>
      </c>
      <c r="H570" s="41">
        <f>SUM(H571:H571)</f>
        <v>200</v>
      </c>
      <c r="I570" s="41">
        <f>SUM(I571:I571)</f>
        <v>0</v>
      </c>
      <c r="J570" s="41">
        <f>SUM(J571:J571)</f>
        <v>0</v>
      </c>
    </row>
    <row r="571" spans="1:10" s="37" customFormat="1" ht="14.25" x14ac:dyDescent="0.2">
      <c r="A571" s="27"/>
      <c r="B571" s="70"/>
      <c r="C571" s="16" t="s">
        <v>104</v>
      </c>
      <c r="D571" s="82" t="s">
        <v>93</v>
      </c>
      <c r="E571" s="82" t="s">
        <v>568</v>
      </c>
      <c r="F571" s="21" t="s">
        <v>225</v>
      </c>
      <c r="G571" s="98" t="s">
        <v>224</v>
      </c>
      <c r="H571" s="39">
        <v>200</v>
      </c>
      <c r="I571" s="39">
        <v>0</v>
      </c>
      <c r="J571" s="39">
        <v>0</v>
      </c>
    </row>
    <row r="572" spans="1:10" s="36" customFormat="1" ht="38.25" x14ac:dyDescent="0.2">
      <c r="A572" s="27"/>
      <c r="B572" s="70"/>
      <c r="C572" s="35" t="s">
        <v>104</v>
      </c>
      <c r="D572" s="35" t="s">
        <v>95</v>
      </c>
      <c r="E572" s="35"/>
      <c r="F572" s="35"/>
      <c r="G572" s="46" t="s">
        <v>2</v>
      </c>
      <c r="H572" s="42">
        <f t="shared" ref="H572:J573" si="222">H573</f>
        <v>193.2</v>
      </c>
      <c r="I572" s="42">
        <f t="shared" si="222"/>
        <v>130</v>
      </c>
      <c r="J572" s="42">
        <f t="shared" si="222"/>
        <v>130</v>
      </c>
    </row>
    <row r="573" spans="1:10" s="36" customFormat="1" ht="76.5" x14ac:dyDescent="0.2">
      <c r="A573" s="27"/>
      <c r="B573" s="70"/>
      <c r="C573" s="16" t="s">
        <v>104</v>
      </c>
      <c r="D573" s="16" t="s">
        <v>95</v>
      </c>
      <c r="E573" s="21" t="s">
        <v>73</v>
      </c>
      <c r="F573" s="35"/>
      <c r="G573" s="64" t="s">
        <v>571</v>
      </c>
      <c r="H573" s="62">
        <f t="shared" si="222"/>
        <v>193.2</v>
      </c>
      <c r="I573" s="62">
        <f t="shared" si="222"/>
        <v>130</v>
      </c>
      <c r="J573" s="62">
        <f t="shared" si="222"/>
        <v>130</v>
      </c>
    </row>
    <row r="574" spans="1:10" s="36" customFormat="1" ht="28.5" customHeight="1" x14ac:dyDescent="0.2">
      <c r="A574" s="27"/>
      <c r="B574" s="70"/>
      <c r="C574" s="16" t="s">
        <v>104</v>
      </c>
      <c r="D574" s="16" t="s">
        <v>95</v>
      </c>
      <c r="E574" s="52" t="s">
        <v>427</v>
      </c>
      <c r="F574" s="35"/>
      <c r="G574" s="46" t="s">
        <v>426</v>
      </c>
      <c r="H574" s="58">
        <f>H576</f>
        <v>193.2</v>
      </c>
      <c r="I574" s="58">
        <f>I576</f>
        <v>130</v>
      </c>
      <c r="J574" s="58">
        <f>J576</f>
        <v>130</v>
      </c>
    </row>
    <row r="575" spans="1:10" s="36" customFormat="1" ht="38.25" x14ac:dyDescent="0.2">
      <c r="A575" s="27"/>
      <c r="B575" s="70"/>
      <c r="C575" s="16" t="s">
        <v>104</v>
      </c>
      <c r="D575" s="16" t="s">
        <v>95</v>
      </c>
      <c r="E575" s="21" t="s">
        <v>431</v>
      </c>
      <c r="F575" s="21"/>
      <c r="G575" s="97" t="s">
        <v>738</v>
      </c>
      <c r="H575" s="39">
        <f>H576</f>
        <v>193.2</v>
      </c>
      <c r="I575" s="39">
        <f t="shared" ref="I575:J575" si="223">I576</f>
        <v>130</v>
      </c>
      <c r="J575" s="39">
        <f t="shared" si="223"/>
        <v>130</v>
      </c>
    </row>
    <row r="576" spans="1:10" s="36" customFormat="1" ht="38.25" x14ac:dyDescent="0.2">
      <c r="A576" s="27"/>
      <c r="B576" s="70"/>
      <c r="C576" s="16" t="s">
        <v>104</v>
      </c>
      <c r="D576" s="16" t="s">
        <v>95</v>
      </c>
      <c r="E576" s="57" t="s">
        <v>553</v>
      </c>
      <c r="F576" s="16"/>
      <c r="G576" s="98" t="s">
        <v>44</v>
      </c>
      <c r="H576" s="41">
        <f>H577</f>
        <v>193.2</v>
      </c>
      <c r="I576" s="41">
        <f>I577</f>
        <v>130</v>
      </c>
      <c r="J576" s="41">
        <f>J577</f>
        <v>130</v>
      </c>
    </row>
    <row r="577" spans="1:10" x14ac:dyDescent="0.2">
      <c r="A577" s="1"/>
      <c r="B577" s="25"/>
      <c r="C577" s="16" t="s">
        <v>104</v>
      </c>
      <c r="D577" s="16" t="s">
        <v>95</v>
      </c>
      <c r="E577" s="57" t="s">
        <v>553</v>
      </c>
      <c r="F577" s="21" t="s">
        <v>225</v>
      </c>
      <c r="G577" s="98" t="s">
        <v>224</v>
      </c>
      <c r="H577" s="94">
        <f>193.2-63.2-25.8+89</f>
        <v>193.2</v>
      </c>
      <c r="I577" s="94">
        <f>193.2-63.2</f>
        <v>130</v>
      </c>
      <c r="J577" s="94">
        <f>193.2-63.2</f>
        <v>130</v>
      </c>
    </row>
    <row r="578" spans="1:10" s="37" customFormat="1" ht="14.25" x14ac:dyDescent="0.2">
      <c r="A578" s="27"/>
      <c r="B578" s="70"/>
      <c r="C578" s="35" t="s">
        <v>104</v>
      </c>
      <c r="D578" s="35" t="s">
        <v>99</v>
      </c>
      <c r="E578" s="35"/>
      <c r="F578" s="35"/>
      <c r="G578" s="45" t="s">
        <v>109</v>
      </c>
      <c r="H578" s="42">
        <f t="shared" ref="H578:J578" si="224">H579</f>
        <v>16231.399999999998</v>
      </c>
      <c r="I578" s="42">
        <f t="shared" si="224"/>
        <v>15863.8</v>
      </c>
      <c r="J578" s="42">
        <f t="shared" si="224"/>
        <v>15863.8</v>
      </c>
    </row>
    <row r="579" spans="1:10" s="37" customFormat="1" ht="76.5" x14ac:dyDescent="0.2">
      <c r="A579" s="27"/>
      <c r="B579" s="70"/>
      <c r="C579" s="16" t="s">
        <v>104</v>
      </c>
      <c r="D579" s="16" t="s">
        <v>99</v>
      </c>
      <c r="E579" s="21" t="s">
        <v>73</v>
      </c>
      <c r="F579" s="35"/>
      <c r="G579" s="64" t="s">
        <v>571</v>
      </c>
      <c r="H579" s="62">
        <f>H580+H590+H612</f>
        <v>16231.399999999998</v>
      </c>
      <c r="I579" s="62">
        <f>I580+I590+I612</f>
        <v>15863.8</v>
      </c>
      <c r="J579" s="62">
        <f>J580+J590+J612</f>
        <v>15863.8</v>
      </c>
    </row>
    <row r="580" spans="1:10" s="37" customFormat="1" ht="40.5" customHeight="1" x14ac:dyDescent="0.2">
      <c r="A580" s="27"/>
      <c r="B580" s="70"/>
      <c r="C580" s="16" t="s">
        <v>104</v>
      </c>
      <c r="D580" s="16" t="s">
        <v>99</v>
      </c>
      <c r="E580" s="52" t="s">
        <v>75</v>
      </c>
      <c r="F580" s="21"/>
      <c r="G580" s="46" t="s">
        <v>559</v>
      </c>
      <c r="H580" s="58">
        <f>H581</f>
        <v>5708.7999999999993</v>
      </c>
      <c r="I580" s="58">
        <f t="shared" ref="I580:J580" si="225">I581</f>
        <v>5708.7999999999993</v>
      </c>
      <c r="J580" s="58">
        <f t="shared" si="225"/>
        <v>5708.7999999999993</v>
      </c>
    </row>
    <row r="581" spans="1:10" s="37" customFormat="1" ht="51" x14ac:dyDescent="0.2">
      <c r="A581" s="27"/>
      <c r="B581" s="70"/>
      <c r="C581" s="16" t="s">
        <v>104</v>
      </c>
      <c r="D581" s="16" t="s">
        <v>99</v>
      </c>
      <c r="E581" s="21" t="s">
        <v>405</v>
      </c>
      <c r="F581" s="21"/>
      <c r="G581" s="97" t="s">
        <v>406</v>
      </c>
      <c r="H581" s="94">
        <f>H582+H584+H587</f>
        <v>5708.7999999999993</v>
      </c>
      <c r="I581" s="94">
        <f t="shared" ref="I581:J581" si="226">I582+I584+I587</f>
        <v>5708.7999999999993</v>
      </c>
      <c r="J581" s="94">
        <f t="shared" si="226"/>
        <v>5708.7999999999993</v>
      </c>
    </row>
    <row r="582" spans="1:10" s="37" customFormat="1" ht="14.25" x14ac:dyDescent="0.2">
      <c r="A582" s="27"/>
      <c r="B582" s="70"/>
      <c r="C582" s="16" t="s">
        <v>104</v>
      </c>
      <c r="D582" s="16" t="s">
        <v>99</v>
      </c>
      <c r="E582" s="57" t="s">
        <v>407</v>
      </c>
      <c r="F582" s="21"/>
      <c r="G582" s="98" t="s">
        <v>45</v>
      </c>
      <c r="H582" s="41">
        <f>H583</f>
        <v>3042.5</v>
      </c>
      <c r="I582" s="41">
        <f>I583</f>
        <v>3042.5</v>
      </c>
      <c r="J582" s="41">
        <f>J583</f>
        <v>3042.5</v>
      </c>
    </row>
    <row r="583" spans="1:10" s="37" customFormat="1" ht="14.25" x14ac:dyDescent="0.2">
      <c r="A583" s="27"/>
      <c r="B583" s="70"/>
      <c r="C583" s="16" t="s">
        <v>104</v>
      </c>
      <c r="D583" s="16" t="s">
        <v>99</v>
      </c>
      <c r="E583" s="57" t="s">
        <v>407</v>
      </c>
      <c r="F583" s="21" t="s">
        <v>225</v>
      </c>
      <c r="G583" s="98" t="s">
        <v>224</v>
      </c>
      <c r="H583" s="41">
        <v>3042.5</v>
      </c>
      <c r="I583" s="41">
        <v>3042.5</v>
      </c>
      <c r="J583" s="41">
        <v>3042.5</v>
      </c>
    </row>
    <row r="584" spans="1:10" s="37" customFormat="1" ht="38.25" x14ac:dyDescent="0.2">
      <c r="A584" s="27"/>
      <c r="B584" s="70"/>
      <c r="C584" s="16" t="s">
        <v>104</v>
      </c>
      <c r="D584" s="16" t="s">
        <v>99</v>
      </c>
      <c r="E584" s="57" t="s">
        <v>409</v>
      </c>
      <c r="F584" s="21"/>
      <c r="G584" s="98" t="s">
        <v>408</v>
      </c>
      <c r="H584" s="41">
        <f>SUM(H585:H586)</f>
        <v>2450.4</v>
      </c>
      <c r="I584" s="41">
        <f>SUM(I585:I586)</f>
        <v>2450.4</v>
      </c>
      <c r="J584" s="41">
        <f>SUM(J585:J586)</f>
        <v>2450.4</v>
      </c>
    </row>
    <row r="585" spans="1:10" s="37" customFormat="1" ht="38.25" x14ac:dyDescent="0.2">
      <c r="A585" s="27"/>
      <c r="B585" s="70"/>
      <c r="C585" s="16" t="s">
        <v>104</v>
      </c>
      <c r="D585" s="16" t="s">
        <v>99</v>
      </c>
      <c r="E585" s="57" t="s">
        <v>409</v>
      </c>
      <c r="F585" s="82" t="s">
        <v>211</v>
      </c>
      <c r="G585" s="98" t="s">
        <v>212</v>
      </c>
      <c r="H585" s="39">
        <v>200</v>
      </c>
      <c r="I585" s="39">
        <v>200</v>
      </c>
      <c r="J585" s="39">
        <v>200</v>
      </c>
    </row>
    <row r="586" spans="1:10" s="37" customFormat="1" ht="14.25" x14ac:dyDescent="0.2">
      <c r="A586" s="27"/>
      <c r="B586" s="70"/>
      <c r="C586" s="16" t="s">
        <v>104</v>
      </c>
      <c r="D586" s="16" t="s">
        <v>99</v>
      </c>
      <c r="E586" s="57" t="s">
        <v>409</v>
      </c>
      <c r="F586" s="21" t="s">
        <v>225</v>
      </c>
      <c r="G586" s="98" t="s">
        <v>224</v>
      </c>
      <c r="H586" s="39">
        <v>2250.4</v>
      </c>
      <c r="I586" s="39">
        <v>2250.4</v>
      </c>
      <c r="J586" s="39">
        <v>2250.4</v>
      </c>
    </row>
    <row r="587" spans="1:10" s="37" customFormat="1" ht="38.25" x14ac:dyDescent="0.2">
      <c r="A587" s="27"/>
      <c r="B587" s="70"/>
      <c r="C587" s="16" t="s">
        <v>104</v>
      </c>
      <c r="D587" s="16" t="s">
        <v>99</v>
      </c>
      <c r="E587" s="57" t="s">
        <v>555</v>
      </c>
      <c r="F587" s="21"/>
      <c r="G587" s="98" t="s">
        <v>134</v>
      </c>
      <c r="H587" s="41">
        <f>SUM(H588:H589)</f>
        <v>215.9</v>
      </c>
      <c r="I587" s="41">
        <f>SUM(I588:I589)</f>
        <v>215.9</v>
      </c>
      <c r="J587" s="41">
        <f>SUM(J588:J589)</f>
        <v>215.9</v>
      </c>
    </row>
    <row r="588" spans="1:10" s="37" customFormat="1" ht="25.5" x14ac:dyDescent="0.2">
      <c r="A588" s="27"/>
      <c r="B588" s="70"/>
      <c r="C588" s="16" t="s">
        <v>104</v>
      </c>
      <c r="D588" s="16" t="s">
        <v>99</v>
      </c>
      <c r="E588" s="57" t="s">
        <v>555</v>
      </c>
      <c r="F588" s="82" t="s">
        <v>64</v>
      </c>
      <c r="G588" s="55" t="s">
        <v>130</v>
      </c>
      <c r="H588" s="41">
        <v>88.5</v>
      </c>
      <c r="I588" s="41">
        <v>88.5</v>
      </c>
      <c r="J588" s="41">
        <v>88.5</v>
      </c>
    </row>
    <row r="589" spans="1:10" s="37" customFormat="1" ht="38.25" x14ac:dyDescent="0.2">
      <c r="A589" s="27"/>
      <c r="B589" s="70"/>
      <c r="C589" s="16" t="s">
        <v>104</v>
      </c>
      <c r="D589" s="16" t="s">
        <v>99</v>
      </c>
      <c r="E589" s="57" t="s">
        <v>555</v>
      </c>
      <c r="F589" s="82" t="s">
        <v>211</v>
      </c>
      <c r="G589" s="98" t="s">
        <v>212</v>
      </c>
      <c r="H589" s="41">
        <v>127.4</v>
      </c>
      <c r="I589" s="41">
        <v>127.4</v>
      </c>
      <c r="J589" s="41">
        <v>127.4</v>
      </c>
    </row>
    <row r="590" spans="1:10" s="37" customFormat="1" ht="28.5" customHeight="1" x14ac:dyDescent="0.2">
      <c r="A590" s="27"/>
      <c r="B590" s="70"/>
      <c r="C590" s="16" t="s">
        <v>104</v>
      </c>
      <c r="D590" s="16" t="s">
        <v>99</v>
      </c>
      <c r="E590" s="52" t="s">
        <v>427</v>
      </c>
      <c r="F590" s="82"/>
      <c r="G590" s="46" t="s">
        <v>426</v>
      </c>
      <c r="H590" s="41">
        <f>H591+H596+H599+H609</f>
        <v>1466.6999999999998</v>
      </c>
      <c r="I590" s="41">
        <f t="shared" ref="I590:J590" si="227">I591+I596+I599+I609</f>
        <v>1409.8000000000002</v>
      </c>
      <c r="J590" s="41">
        <f t="shared" si="227"/>
        <v>1409.8000000000002</v>
      </c>
    </row>
    <row r="591" spans="1:10" s="37" customFormat="1" ht="25.5" x14ac:dyDescent="0.2">
      <c r="A591" s="27"/>
      <c r="B591" s="70"/>
      <c r="C591" s="16" t="s">
        <v>104</v>
      </c>
      <c r="D591" s="16" t="s">
        <v>99</v>
      </c>
      <c r="E591" s="21" t="s">
        <v>428</v>
      </c>
      <c r="F591" s="21"/>
      <c r="G591" s="97" t="s">
        <v>466</v>
      </c>
      <c r="H591" s="41">
        <f>H592+H594</f>
        <v>253.89999999999998</v>
      </c>
      <c r="I591" s="41">
        <f t="shared" ref="I591:J591" si="228">I592+I594</f>
        <v>253.89999999999998</v>
      </c>
      <c r="J591" s="41">
        <f t="shared" si="228"/>
        <v>253.89999999999998</v>
      </c>
    </row>
    <row r="592" spans="1:10" s="37" customFormat="1" ht="40.5" customHeight="1" x14ac:dyDescent="0.2">
      <c r="A592" s="27"/>
      <c r="B592" s="70"/>
      <c r="C592" s="16" t="s">
        <v>104</v>
      </c>
      <c r="D592" s="16" t="s">
        <v>99</v>
      </c>
      <c r="E592" s="21" t="s">
        <v>556</v>
      </c>
      <c r="F592" s="16"/>
      <c r="G592" s="97" t="s">
        <v>429</v>
      </c>
      <c r="H592" s="39">
        <f>H593</f>
        <v>141.69999999999999</v>
      </c>
      <c r="I592" s="39">
        <f>I593</f>
        <v>141.69999999999999</v>
      </c>
      <c r="J592" s="39">
        <f>J593</f>
        <v>141.69999999999999</v>
      </c>
    </row>
    <row r="593" spans="1:10" s="37" customFormat="1" ht="14.25" x14ac:dyDescent="0.2">
      <c r="A593" s="27"/>
      <c r="B593" s="70"/>
      <c r="C593" s="16" t="s">
        <v>104</v>
      </c>
      <c r="D593" s="16" t="s">
        <v>99</v>
      </c>
      <c r="E593" s="21" t="s">
        <v>556</v>
      </c>
      <c r="F593" s="82" t="s">
        <v>355</v>
      </c>
      <c r="G593" s="98" t="s">
        <v>356</v>
      </c>
      <c r="H593" s="41">
        <v>141.69999999999999</v>
      </c>
      <c r="I593" s="41">
        <v>141.69999999999999</v>
      </c>
      <c r="J593" s="41">
        <v>141.69999999999999</v>
      </c>
    </row>
    <row r="594" spans="1:10" s="37" customFormat="1" ht="38.25" x14ac:dyDescent="0.2">
      <c r="A594" s="27"/>
      <c r="B594" s="70"/>
      <c r="C594" s="16" t="s">
        <v>104</v>
      </c>
      <c r="D594" s="16" t="s">
        <v>99</v>
      </c>
      <c r="E594" s="57" t="s">
        <v>557</v>
      </c>
      <c r="F594" s="16"/>
      <c r="G594" s="98" t="s">
        <v>49</v>
      </c>
      <c r="H594" s="41">
        <f>H595</f>
        <v>112.2</v>
      </c>
      <c r="I594" s="41">
        <f>I595</f>
        <v>112.2</v>
      </c>
      <c r="J594" s="41">
        <f>J595</f>
        <v>112.2</v>
      </c>
    </row>
    <row r="595" spans="1:10" s="37" customFormat="1" ht="38.25" x14ac:dyDescent="0.2">
      <c r="A595" s="27"/>
      <c r="B595" s="70"/>
      <c r="C595" s="16" t="s">
        <v>104</v>
      </c>
      <c r="D595" s="16" t="s">
        <v>99</v>
      </c>
      <c r="E595" s="57" t="s">
        <v>557</v>
      </c>
      <c r="F595" s="82" t="s">
        <v>211</v>
      </c>
      <c r="G595" s="98" t="s">
        <v>212</v>
      </c>
      <c r="H595" s="41">
        <v>112.2</v>
      </c>
      <c r="I595" s="41">
        <v>112.2</v>
      </c>
      <c r="J595" s="41">
        <v>112.2</v>
      </c>
    </row>
    <row r="596" spans="1:10" s="37" customFormat="1" ht="38.25" x14ac:dyDescent="0.2">
      <c r="A596" s="27"/>
      <c r="B596" s="70"/>
      <c r="C596" s="16" t="s">
        <v>104</v>
      </c>
      <c r="D596" s="16" t="s">
        <v>99</v>
      </c>
      <c r="E596" s="21" t="s">
        <v>431</v>
      </c>
      <c r="F596" s="21"/>
      <c r="G596" s="97" t="s">
        <v>432</v>
      </c>
      <c r="H596" s="39">
        <f>H597</f>
        <v>75</v>
      </c>
      <c r="I596" s="39">
        <f t="shared" ref="I596:J596" si="229">I597</f>
        <v>75</v>
      </c>
      <c r="J596" s="39">
        <f t="shared" si="229"/>
        <v>75</v>
      </c>
    </row>
    <row r="597" spans="1:10" s="37" customFormat="1" ht="38.25" x14ac:dyDescent="0.2">
      <c r="A597" s="27"/>
      <c r="B597" s="70"/>
      <c r="C597" s="16" t="s">
        <v>104</v>
      </c>
      <c r="D597" s="16" t="s">
        <v>99</v>
      </c>
      <c r="E597" s="57" t="s">
        <v>554</v>
      </c>
      <c r="F597" s="16"/>
      <c r="G597" s="54" t="s">
        <v>511</v>
      </c>
      <c r="H597" s="94">
        <f>H598</f>
        <v>75</v>
      </c>
      <c r="I597" s="94">
        <f>I598</f>
        <v>75</v>
      </c>
      <c r="J597" s="94">
        <f>J598</f>
        <v>75</v>
      </c>
    </row>
    <row r="598" spans="1:10" s="37" customFormat="1" ht="14.25" x14ac:dyDescent="0.2">
      <c r="A598" s="27"/>
      <c r="B598" s="70"/>
      <c r="C598" s="16" t="s">
        <v>104</v>
      </c>
      <c r="D598" s="16" t="s">
        <v>99</v>
      </c>
      <c r="E598" s="57" t="s">
        <v>554</v>
      </c>
      <c r="F598" s="21" t="s">
        <v>225</v>
      </c>
      <c r="G598" s="98" t="s">
        <v>224</v>
      </c>
      <c r="H598" s="94">
        <v>75</v>
      </c>
      <c r="I598" s="94">
        <v>75</v>
      </c>
      <c r="J598" s="94">
        <v>75</v>
      </c>
    </row>
    <row r="599" spans="1:10" s="37" customFormat="1" ht="38.25" x14ac:dyDescent="0.2">
      <c r="A599" s="27"/>
      <c r="B599" s="70"/>
      <c r="C599" s="16" t="s">
        <v>104</v>
      </c>
      <c r="D599" s="16" t="s">
        <v>99</v>
      </c>
      <c r="E599" s="21" t="s">
        <v>433</v>
      </c>
      <c r="F599" s="21"/>
      <c r="G599" s="108" t="s">
        <v>739</v>
      </c>
      <c r="H599" s="41">
        <f>H600+H602+H605+H607</f>
        <v>1087.8</v>
      </c>
      <c r="I599" s="41">
        <f>I600+I602+I605+I607</f>
        <v>1080.9000000000001</v>
      </c>
      <c r="J599" s="41">
        <f>J600+J602+J605+J607</f>
        <v>1080.9000000000001</v>
      </c>
    </row>
    <row r="600" spans="1:10" s="37" customFormat="1" ht="63.75" x14ac:dyDescent="0.2">
      <c r="A600" s="27"/>
      <c r="B600" s="70"/>
      <c r="C600" s="16" t="s">
        <v>104</v>
      </c>
      <c r="D600" s="16" t="s">
        <v>99</v>
      </c>
      <c r="E600" s="80">
        <v>140323020</v>
      </c>
      <c r="F600" s="82"/>
      <c r="G600" s="98" t="s">
        <v>133</v>
      </c>
      <c r="H600" s="41">
        <f>H601</f>
        <v>304.5</v>
      </c>
      <c r="I600" s="41">
        <f>I601</f>
        <v>297.60000000000002</v>
      </c>
      <c r="J600" s="41">
        <f>J601</f>
        <v>297.60000000000002</v>
      </c>
    </row>
    <row r="601" spans="1:10" s="37" customFormat="1" ht="38.25" x14ac:dyDescent="0.2">
      <c r="A601" s="27"/>
      <c r="B601" s="70"/>
      <c r="C601" s="16" t="s">
        <v>104</v>
      </c>
      <c r="D601" s="16" t="s">
        <v>99</v>
      </c>
      <c r="E601" s="80">
        <v>140323020</v>
      </c>
      <c r="F601" s="82" t="s">
        <v>211</v>
      </c>
      <c r="G601" s="98" t="s">
        <v>212</v>
      </c>
      <c r="H601" s="41">
        <f>297.6+6.9</f>
        <v>304.5</v>
      </c>
      <c r="I601" s="41">
        <v>297.60000000000002</v>
      </c>
      <c r="J601" s="41">
        <v>297.60000000000002</v>
      </c>
    </row>
    <row r="602" spans="1:10" s="37" customFormat="1" ht="80.25" customHeight="1" x14ac:dyDescent="0.2">
      <c r="A602" s="27"/>
      <c r="B602" s="70"/>
      <c r="C602" s="16" t="s">
        <v>104</v>
      </c>
      <c r="D602" s="16" t="s">
        <v>99</v>
      </c>
      <c r="E602" s="80">
        <v>140323025</v>
      </c>
      <c r="F602" s="82"/>
      <c r="G602" s="98" t="s">
        <v>740</v>
      </c>
      <c r="H602" s="41">
        <f>SUM(H603:H604)</f>
        <v>479.3</v>
      </c>
      <c r="I602" s="41">
        <f t="shared" ref="I602:J602" si="230">SUM(I603:I604)</f>
        <v>479.3</v>
      </c>
      <c r="J602" s="41">
        <f t="shared" si="230"/>
        <v>479.3</v>
      </c>
    </row>
    <row r="603" spans="1:10" s="37" customFormat="1" ht="38.25" x14ac:dyDescent="0.2">
      <c r="A603" s="27"/>
      <c r="B603" s="70"/>
      <c r="C603" s="16" t="s">
        <v>104</v>
      </c>
      <c r="D603" s="16" t="s">
        <v>99</v>
      </c>
      <c r="E603" s="80">
        <v>140323025</v>
      </c>
      <c r="F603" s="82" t="s">
        <v>211</v>
      </c>
      <c r="G603" s="98" t="s">
        <v>212</v>
      </c>
      <c r="H603" s="41">
        <v>444.3</v>
      </c>
      <c r="I603" s="41">
        <v>444.3</v>
      </c>
      <c r="J603" s="41">
        <v>444.3</v>
      </c>
    </row>
    <row r="604" spans="1:10" s="37" customFormat="1" ht="14.25" x14ac:dyDescent="0.2">
      <c r="A604" s="27"/>
      <c r="B604" s="70"/>
      <c r="C604" s="16" t="s">
        <v>104</v>
      </c>
      <c r="D604" s="16" t="s">
        <v>99</v>
      </c>
      <c r="E604" s="80">
        <v>140323025</v>
      </c>
      <c r="F604" s="82" t="s">
        <v>632</v>
      </c>
      <c r="G604" s="98" t="s">
        <v>633</v>
      </c>
      <c r="H604" s="41">
        <v>35</v>
      </c>
      <c r="I604" s="41">
        <v>35</v>
      </c>
      <c r="J604" s="41">
        <v>35</v>
      </c>
    </row>
    <row r="605" spans="1:10" s="37" customFormat="1" ht="53.25" customHeight="1" x14ac:dyDescent="0.2">
      <c r="A605" s="27"/>
      <c r="B605" s="70"/>
      <c r="C605" s="16" t="s">
        <v>104</v>
      </c>
      <c r="D605" s="16" t="s">
        <v>99</v>
      </c>
      <c r="E605" s="80" t="s">
        <v>434</v>
      </c>
      <c r="F605" s="82"/>
      <c r="G605" s="98" t="s">
        <v>435</v>
      </c>
      <c r="H605" s="41">
        <f>H606</f>
        <v>153.19999999999999</v>
      </c>
      <c r="I605" s="41">
        <f>I606</f>
        <v>153.19999999999999</v>
      </c>
      <c r="J605" s="41">
        <f>J606</f>
        <v>153.19999999999999</v>
      </c>
    </row>
    <row r="606" spans="1:10" s="37" customFormat="1" ht="38.25" x14ac:dyDescent="0.2">
      <c r="A606" s="27"/>
      <c r="B606" s="70"/>
      <c r="C606" s="16" t="s">
        <v>104</v>
      </c>
      <c r="D606" s="16" t="s">
        <v>99</v>
      </c>
      <c r="E606" s="80" t="s">
        <v>434</v>
      </c>
      <c r="F606" s="82" t="s">
        <v>211</v>
      </c>
      <c r="G606" s="98" t="s">
        <v>212</v>
      </c>
      <c r="H606" s="41">
        <f>90+63.2</f>
        <v>153.19999999999999</v>
      </c>
      <c r="I606" s="41">
        <f>90+63.2</f>
        <v>153.19999999999999</v>
      </c>
      <c r="J606" s="41">
        <f>90+63.2</f>
        <v>153.19999999999999</v>
      </c>
    </row>
    <row r="607" spans="1:10" s="37" customFormat="1" ht="38.25" x14ac:dyDescent="0.2">
      <c r="A607" s="27"/>
      <c r="B607" s="70"/>
      <c r="C607" s="16" t="s">
        <v>104</v>
      </c>
      <c r="D607" s="16" t="s">
        <v>99</v>
      </c>
      <c r="E607" s="80">
        <v>140311080</v>
      </c>
      <c r="F607" s="82"/>
      <c r="G607" s="98" t="s">
        <v>436</v>
      </c>
      <c r="H607" s="41">
        <f>H608</f>
        <v>150.80000000000001</v>
      </c>
      <c r="I607" s="41">
        <f>I608</f>
        <v>150.80000000000001</v>
      </c>
      <c r="J607" s="41">
        <f>J608</f>
        <v>150.80000000000001</v>
      </c>
    </row>
    <row r="608" spans="1:10" s="37" customFormat="1" ht="38.25" x14ac:dyDescent="0.2">
      <c r="A608" s="27"/>
      <c r="B608" s="70"/>
      <c r="C608" s="16" t="s">
        <v>104</v>
      </c>
      <c r="D608" s="16" t="s">
        <v>99</v>
      </c>
      <c r="E608" s="80">
        <v>140311080</v>
      </c>
      <c r="F608" s="82" t="s">
        <v>211</v>
      </c>
      <c r="G608" s="98" t="s">
        <v>212</v>
      </c>
      <c r="H608" s="39">
        <v>150.80000000000001</v>
      </c>
      <c r="I608" s="39">
        <v>150.80000000000001</v>
      </c>
      <c r="J608" s="39">
        <v>150.80000000000001</v>
      </c>
    </row>
    <row r="609" spans="1:10" s="37" customFormat="1" ht="25.5" x14ac:dyDescent="0.2">
      <c r="A609" s="27"/>
      <c r="B609" s="70"/>
      <c r="C609" s="16" t="s">
        <v>104</v>
      </c>
      <c r="D609" s="16" t="s">
        <v>99</v>
      </c>
      <c r="E609" s="21" t="s">
        <v>754</v>
      </c>
      <c r="F609" s="82"/>
      <c r="G609" s="174" t="s">
        <v>755</v>
      </c>
      <c r="H609" s="39">
        <f>H610</f>
        <v>50</v>
      </c>
      <c r="I609" s="39">
        <f t="shared" ref="I609:J609" si="231">I610</f>
        <v>0</v>
      </c>
      <c r="J609" s="39">
        <f t="shared" si="231"/>
        <v>0</v>
      </c>
    </row>
    <row r="610" spans="1:10" s="37" customFormat="1" ht="63.75" x14ac:dyDescent="0.2">
      <c r="A610" s="27"/>
      <c r="B610" s="70"/>
      <c r="C610" s="16" t="s">
        <v>104</v>
      </c>
      <c r="D610" s="16" t="s">
        <v>99</v>
      </c>
      <c r="E610" s="21" t="s">
        <v>752</v>
      </c>
      <c r="F610" s="82"/>
      <c r="G610" s="130" t="s">
        <v>753</v>
      </c>
      <c r="H610" s="39">
        <f>H611</f>
        <v>50</v>
      </c>
      <c r="I610" s="39">
        <v>0</v>
      </c>
      <c r="J610" s="39">
        <v>0</v>
      </c>
    </row>
    <row r="611" spans="1:10" s="37" customFormat="1" ht="38.25" x14ac:dyDescent="0.2">
      <c r="A611" s="27"/>
      <c r="B611" s="70"/>
      <c r="C611" s="16" t="s">
        <v>104</v>
      </c>
      <c r="D611" s="16" t="s">
        <v>99</v>
      </c>
      <c r="E611" s="21" t="s">
        <v>752</v>
      </c>
      <c r="F611" s="82" t="s">
        <v>211</v>
      </c>
      <c r="G611" s="98" t="s">
        <v>212</v>
      </c>
      <c r="H611" s="39">
        <v>50</v>
      </c>
      <c r="I611" s="39">
        <v>0</v>
      </c>
      <c r="J611" s="39">
        <v>0</v>
      </c>
    </row>
    <row r="612" spans="1:10" s="37" customFormat="1" ht="14.25" x14ac:dyDescent="0.2">
      <c r="A612" s="27"/>
      <c r="B612" s="70"/>
      <c r="C612" s="16" t="s">
        <v>104</v>
      </c>
      <c r="D612" s="16" t="s">
        <v>99</v>
      </c>
      <c r="E612" s="52" t="s">
        <v>76</v>
      </c>
      <c r="F612" s="16"/>
      <c r="G612" s="66" t="s">
        <v>46</v>
      </c>
      <c r="H612" s="41">
        <f>H613</f>
        <v>9055.9</v>
      </c>
      <c r="I612" s="41">
        <f>I613</f>
        <v>8745.1999999999989</v>
      </c>
      <c r="J612" s="41">
        <f>J613</f>
        <v>8745.1999999999989</v>
      </c>
    </row>
    <row r="613" spans="1:10" s="37" customFormat="1" ht="63.75" x14ac:dyDescent="0.2">
      <c r="A613" s="27"/>
      <c r="B613" s="70"/>
      <c r="C613" s="16" t="s">
        <v>104</v>
      </c>
      <c r="D613" s="16" t="s">
        <v>99</v>
      </c>
      <c r="E613" s="80">
        <v>190022200</v>
      </c>
      <c r="F613" s="82"/>
      <c r="G613" s="98" t="s">
        <v>437</v>
      </c>
      <c r="H613" s="41">
        <f>SUM(H614:H616)</f>
        <v>9055.9</v>
      </c>
      <c r="I613" s="41">
        <f t="shared" ref="I613:J613" si="232">SUM(I614:I616)</f>
        <v>8745.1999999999989</v>
      </c>
      <c r="J613" s="41">
        <f t="shared" si="232"/>
        <v>8745.1999999999989</v>
      </c>
    </row>
    <row r="614" spans="1:10" s="37" customFormat="1" ht="38.25" x14ac:dyDescent="0.2">
      <c r="A614" s="27"/>
      <c r="B614" s="70"/>
      <c r="C614" s="16" t="s">
        <v>104</v>
      </c>
      <c r="D614" s="16" t="s">
        <v>99</v>
      </c>
      <c r="E614" s="80">
        <v>190022200</v>
      </c>
      <c r="F614" s="16" t="s">
        <v>62</v>
      </c>
      <c r="G614" s="55" t="s">
        <v>63</v>
      </c>
      <c r="H614" s="41">
        <f>8258.3+301.7</f>
        <v>8560</v>
      </c>
      <c r="I614" s="41">
        <v>8258.2999999999993</v>
      </c>
      <c r="J614" s="41">
        <v>8258.2999999999993</v>
      </c>
    </row>
    <row r="615" spans="1:10" s="37" customFormat="1" ht="38.25" x14ac:dyDescent="0.2">
      <c r="A615" s="27"/>
      <c r="B615" s="70"/>
      <c r="C615" s="16" t="s">
        <v>104</v>
      </c>
      <c r="D615" s="16" t="s">
        <v>99</v>
      </c>
      <c r="E615" s="80">
        <v>190022200</v>
      </c>
      <c r="F615" s="82" t="s">
        <v>211</v>
      </c>
      <c r="G615" s="98" t="s">
        <v>212</v>
      </c>
      <c r="H615" s="41">
        <v>486.9</v>
      </c>
      <c r="I615" s="41">
        <v>486.9</v>
      </c>
      <c r="J615" s="41">
        <v>486.9</v>
      </c>
    </row>
    <row r="616" spans="1:10" s="37" customFormat="1" ht="38.25" x14ac:dyDescent="0.2">
      <c r="A616" s="27"/>
      <c r="B616" s="70"/>
      <c r="C616" s="16" t="s">
        <v>104</v>
      </c>
      <c r="D616" s="16" t="s">
        <v>99</v>
      </c>
      <c r="E616" s="80">
        <v>190022200</v>
      </c>
      <c r="F616" s="82" t="s">
        <v>260</v>
      </c>
      <c r="G616" s="98" t="s">
        <v>249</v>
      </c>
      <c r="H616" s="41">
        <v>9</v>
      </c>
      <c r="I616" s="41">
        <v>0</v>
      </c>
      <c r="J616" s="41">
        <v>0</v>
      </c>
    </row>
    <row r="617" spans="1:10" ht="15.75" x14ac:dyDescent="0.25">
      <c r="A617" s="3"/>
      <c r="B617" s="91"/>
      <c r="C617" s="4" t="s">
        <v>110</v>
      </c>
      <c r="D617" s="3"/>
      <c r="E617" s="3"/>
      <c r="F617" s="3"/>
      <c r="G617" s="49" t="s">
        <v>111</v>
      </c>
      <c r="H617" s="92">
        <f>H618+H624</f>
        <v>13989.3</v>
      </c>
      <c r="I617" s="92">
        <f>I618+I624</f>
        <v>13989.3</v>
      </c>
      <c r="J617" s="92">
        <f>J618+J624</f>
        <v>13989.3</v>
      </c>
    </row>
    <row r="618" spans="1:10" ht="15.75" x14ac:dyDescent="0.25">
      <c r="A618" s="3"/>
      <c r="B618" s="91"/>
      <c r="C618" s="35" t="s">
        <v>110</v>
      </c>
      <c r="D618" s="35" t="s">
        <v>93</v>
      </c>
      <c r="E618" s="35"/>
      <c r="F618" s="35"/>
      <c r="G618" s="45" t="s">
        <v>116</v>
      </c>
      <c r="H618" s="93">
        <f t="shared" ref="H618:J620" si="233">H619</f>
        <v>972</v>
      </c>
      <c r="I618" s="93">
        <f t="shared" si="233"/>
        <v>972</v>
      </c>
      <c r="J618" s="93">
        <f t="shared" si="233"/>
        <v>972</v>
      </c>
    </row>
    <row r="619" spans="1:10" ht="77.25" x14ac:dyDescent="0.25">
      <c r="A619" s="3"/>
      <c r="B619" s="91"/>
      <c r="C619" s="82" t="s">
        <v>110</v>
      </c>
      <c r="D619" s="82" t="s">
        <v>93</v>
      </c>
      <c r="E619" s="21" t="s">
        <v>73</v>
      </c>
      <c r="F619" s="35"/>
      <c r="G619" s="64" t="s">
        <v>571</v>
      </c>
      <c r="H619" s="96">
        <f t="shared" si="233"/>
        <v>972</v>
      </c>
      <c r="I619" s="96">
        <f t="shared" si="233"/>
        <v>972</v>
      </c>
      <c r="J619" s="96">
        <f t="shared" si="233"/>
        <v>972</v>
      </c>
    </row>
    <row r="620" spans="1:10" ht="27.75" customHeight="1" x14ac:dyDescent="0.25">
      <c r="A620" s="3"/>
      <c r="B620" s="91"/>
      <c r="C620" s="47" t="s">
        <v>110</v>
      </c>
      <c r="D620" s="47" t="s">
        <v>93</v>
      </c>
      <c r="E620" s="52" t="s">
        <v>427</v>
      </c>
      <c r="F620" s="82"/>
      <c r="G620" s="46" t="s">
        <v>426</v>
      </c>
      <c r="H620" s="41">
        <f>H621</f>
        <v>972</v>
      </c>
      <c r="I620" s="41">
        <f t="shared" si="233"/>
        <v>972</v>
      </c>
      <c r="J620" s="41">
        <f t="shared" si="233"/>
        <v>972</v>
      </c>
    </row>
    <row r="621" spans="1:10" ht="26.25" x14ac:dyDescent="0.25">
      <c r="A621" s="3"/>
      <c r="B621" s="91"/>
      <c r="C621" s="16" t="s">
        <v>110</v>
      </c>
      <c r="D621" s="16" t="s">
        <v>93</v>
      </c>
      <c r="E621" s="21" t="s">
        <v>428</v>
      </c>
      <c r="F621" s="21"/>
      <c r="G621" s="97" t="s">
        <v>466</v>
      </c>
      <c r="H621" s="41">
        <v>972</v>
      </c>
      <c r="I621" s="41">
        <v>972</v>
      </c>
      <c r="J621" s="41">
        <v>972</v>
      </c>
    </row>
    <row r="622" spans="1:10" ht="102" x14ac:dyDescent="0.25">
      <c r="A622" s="3"/>
      <c r="B622" s="91"/>
      <c r="C622" s="16" t="s">
        <v>110</v>
      </c>
      <c r="D622" s="16" t="s">
        <v>93</v>
      </c>
      <c r="E622" s="80">
        <v>140210560</v>
      </c>
      <c r="F622" s="82"/>
      <c r="G622" s="98" t="s">
        <v>182</v>
      </c>
      <c r="H622" s="41">
        <f>H623</f>
        <v>972</v>
      </c>
      <c r="I622" s="41">
        <f>I623</f>
        <v>972</v>
      </c>
      <c r="J622" s="41">
        <f>J623</f>
        <v>972</v>
      </c>
    </row>
    <row r="623" spans="1:10" ht="25.5" x14ac:dyDescent="0.25">
      <c r="A623" s="3"/>
      <c r="B623" s="91"/>
      <c r="C623" s="16" t="s">
        <v>110</v>
      </c>
      <c r="D623" s="16" t="s">
        <v>93</v>
      </c>
      <c r="E623" s="80">
        <v>140210560</v>
      </c>
      <c r="F623" s="82" t="s">
        <v>279</v>
      </c>
      <c r="G623" s="98" t="s">
        <v>280</v>
      </c>
      <c r="H623" s="41">
        <f>1026-54</f>
        <v>972</v>
      </c>
      <c r="I623" s="41">
        <f t="shared" ref="I623:J623" si="234">1026-54</f>
        <v>972</v>
      </c>
      <c r="J623" s="41">
        <f t="shared" si="234"/>
        <v>972</v>
      </c>
    </row>
    <row r="624" spans="1:10" ht="14.25" x14ac:dyDescent="0.2">
      <c r="A624" s="1"/>
      <c r="B624" s="25"/>
      <c r="C624" s="35" t="s">
        <v>110</v>
      </c>
      <c r="D624" s="35" t="s">
        <v>94</v>
      </c>
      <c r="E624" s="35"/>
      <c r="F624" s="38"/>
      <c r="G624" s="50" t="s">
        <v>13</v>
      </c>
      <c r="H624" s="42">
        <f t="shared" ref="H624:J627" si="235">H625</f>
        <v>13017.3</v>
      </c>
      <c r="I624" s="42">
        <f t="shared" si="235"/>
        <v>13017.3</v>
      </c>
      <c r="J624" s="42">
        <f t="shared" si="235"/>
        <v>13017.3</v>
      </c>
    </row>
    <row r="625" spans="1:10" ht="76.5" x14ac:dyDescent="0.2">
      <c r="A625" s="1"/>
      <c r="B625" s="25"/>
      <c r="C625" s="16" t="s">
        <v>110</v>
      </c>
      <c r="D625" s="16" t="s">
        <v>94</v>
      </c>
      <c r="E625" s="21" t="s">
        <v>73</v>
      </c>
      <c r="F625" s="35"/>
      <c r="G625" s="64" t="s">
        <v>571</v>
      </c>
      <c r="H625" s="96">
        <f t="shared" si="235"/>
        <v>13017.3</v>
      </c>
      <c r="I625" s="96">
        <f t="shared" si="235"/>
        <v>13017.3</v>
      </c>
      <c r="J625" s="96">
        <f t="shared" si="235"/>
        <v>13017.3</v>
      </c>
    </row>
    <row r="626" spans="1:10" ht="25.5" x14ac:dyDescent="0.2">
      <c r="A626" s="1"/>
      <c r="B626" s="25"/>
      <c r="C626" s="16" t="s">
        <v>110</v>
      </c>
      <c r="D626" s="16" t="s">
        <v>94</v>
      </c>
      <c r="E626" s="52" t="s">
        <v>74</v>
      </c>
      <c r="F626" s="35"/>
      <c r="G626" s="46" t="s">
        <v>388</v>
      </c>
      <c r="H626" s="93">
        <f t="shared" si="235"/>
        <v>13017.3</v>
      </c>
      <c r="I626" s="93">
        <f t="shared" si="235"/>
        <v>13017.3</v>
      </c>
      <c r="J626" s="93">
        <f t="shared" si="235"/>
        <v>13017.3</v>
      </c>
    </row>
    <row r="627" spans="1:10" ht="25.5" x14ac:dyDescent="0.2">
      <c r="A627" s="1"/>
      <c r="B627" s="25"/>
      <c r="C627" s="16" t="s">
        <v>110</v>
      </c>
      <c r="D627" s="16" t="s">
        <v>94</v>
      </c>
      <c r="E627" s="21" t="s">
        <v>283</v>
      </c>
      <c r="F627" s="21"/>
      <c r="G627" s="97" t="s">
        <v>385</v>
      </c>
      <c r="H627" s="39">
        <f t="shared" si="235"/>
        <v>13017.3</v>
      </c>
      <c r="I627" s="39">
        <f t="shared" si="235"/>
        <v>13017.3</v>
      </c>
      <c r="J627" s="39">
        <f t="shared" si="235"/>
        <v>13017.3</v>
      </c>
    </row>
    <row r="628" spans="1:10" ht="76.5" x14ac:dyDescent="0.2">
      <c r="A628" s="1"/>
      <c r="B628" s="25"/>
      <c r="C628" s="16" t="s">
        <v>110</v>
      </c>
      <c r="D628" s="16" t="s">
        <v>94</v>
      </c>
      <c r="E628" s="57" t="s">
        <v>387</v>
      </c>
      <c r="F628" s="21"/>
      <c r="G628" s="98" t="s">
        <v>386</v>
      </c>
      <c r="H628" s="94">
        <f>H629+H630</f>
        <v>13017.3</v>
      </c>
      <c r="I628" s="94">
        <f>I629+I630</f>
        <v>13017.3</v>
      </c>
      <c r="J628" s="94">
        <f>J629+J630</f>
        <v>13017.3</v>
      </c>
    </row>
    <row r="629" spans="1:10" ht="38.25" x14ac:dyDescent="0.2">
      <c r="A629" s="1"/>
      <c r="B629" s="25"/>
      <c r="C629" s="16" t="s">
        <v>110</v>
      </c>
      <c r="D629" s="16" t="s">
        <v>94</v>
      </c>
      <c r="E629" s="57" t="s">
        <v>387</v>
      </c>
      <c r="F629" s="82" t="s">
        <v>211</v>
      </c>
      <c r="G629" s="98" t="s">
        <v>212</v>
      </c>
      <c r="H629" s="94">
        <v>330</v>
      </c>
      <c r="I629" s="94">
        <v>330</v>
      </c>
      <c r="J629" s="94">
        <v>330</v>
      </c>
    </row>
    <row r="630" spans="1:10" ht="38.25" x14ac:dyDescent="0.2">
      <c r="A630" s="1"/>
      <c r="B630" s="25"/>
      <c r="C630" s="16" t="s">
        <v>110</v>
      </c>
      <c r="D630" s="16" t="s">
        <v>94</v>
      </c>
      <c r="E630" s="57" t="s">
        <v>387</v>
      </c>
      <c r="F630" s="82" t="s">
        <v>260</v>
      </c>
      <c r="G630" s="98" t="s">
        <v>249</v>
      </c>
      <c r="H630" s="94">
        <v>12687.3</v>
      </c>
      <c r="I630" s="94">
        <v>12687.3</v>
      </c>
      <c r="J630" s="94">
        <v>12687.3</v>
      </c>
    </row>
    <row r="631" spans="1:10" s="8" customFormat="1" ht="108" x14ac:dyDescent="0.25">
      <c r="A631" s="3">
        <v>5</v>
      </c>
      <c r="B631" s="91">
        <v>938</v>
      </c>
      <c r="C631" s="13"/>
      <c r="D631" s="13"/>
      <c r="E631" s="13"/>
      <c r="F631" s="13"/>
      <c r="G631" s="14" t="s">
        <v>175</v>
      </c>
      <c r="H631" s="92">
        <f>H632+H639+H687+H737</f>
        <v>143988.1</v>
      </c>
      <c r="I631" s="92">
        <f>I632+I639+I687+I737</f>
        <v>109196.70000000001</v>
      </c>
      <c r="J631" s="92">
        <f>J632+J639+J687+J737</f>
        <v>110396.70000000001</v>
      </c>
    </row>
    <row r="632" spans="1:10" s="8" customFormat="1" ht="45" x14ac:dyDescent="0.25">
      <c r="A632" s="3"/>
      <c r="B632" s="91"/>
      <c r="C632" s="4" t="s">
        <v>93</v>
      </c>
      <c r="D632" s="3"/>
      <c r="E632" s="3"/>
      <c r="F632" s="3"/>
      <c r="G632" s="49" t="s">
        <v>98</v>
      </c>
      <c r="H632" s="92">
        <f>H633</f>
        <v>34</v>
      </c>
      <c r="I632" s="92">
        <f t="shared" ref="I632:J633" si="236">I633</f>
        <v>34</v>
      </c>
      <c r="J632" s="92">
        <f t="shared" si="236"/>
        <v>34</v>
      </c>
    </row>
    <row r="633" spans="1:10" s="8" customFormat="1" ht="39" x14ac:dyDescent="0.25">
      <c r="A633" s="3"/>
      <c r="B633" s="91"/>
      <c r="C633" s="28" t="s">
        <v>93</v>
      </c>
      <c r="D633" s="28" t="s">
        <v>121</v>
      </c>
      <c r="E633" s="28"/>
      <c r="F633" s="34"/>
      <c r="G633" s="46" t="s">
        <v>22</v>
      </c>
      <c r="H633" s="40">
        <f>H634</f>
        <v>34</v>
      </c>
      <c r="I633" s="40">
        <f t="shared" si="236"/>
        <v>34</v>
      </c>
      <c r="J633" s="40">
        <f t="shared" si="236"/>
        <v>34</v>
      </c>
    </row>
    <row r="634" spans="1:10" s="8" customFormat="1" ht="90" x14ac:dyDescent="0.25">
      <c r="A634" s="3"/>
      <c r="B634" s="91"/>
      <c r="C634" s="21" t="s">
        <v>93</v>
      </c>
      <c r="D634" s="21" t="s">
        <v>121</v>
      </c>
      <c r="E634" s="73" t="s">
        <v>71</v>
      </c>
      <c r="F634" s="16"/>
      <c r="G634" s="53" t="s">
        <v>582</v>
      </c>
      <c r="H634" s="96">
        <f t="shared" ref="H634:J637" si="237">H635</f>
        <v>34</v>
      </c>
      <c r="I634" s="96">
        <f t="shared" si="237"/>
        <v>34</v>
      </c>
      <c r="J634" s="96">
        <f t="shared" si="237"/>
        <v>34</v>
      </c>
    </row>
    <row r="635" spans="1:10" s="8" customFormat="1" ht="51" x14ac:dyDescent="0.25">
      <c r="A635" s="3"/>
      <c r="B635" s="91"/>
      <c r="C635" s="21" t="s">
        <v>93</v>
      </c>
      <c r="D635" s="21" t="s">
        <v>121</v>
      </c>
      <c r="E635" s="52" t="s">
        <v>72</v>
      </c>
      <c r="F635" s="16"/>
      <c r="G635" s="60" t="s">
        <v>187</v>
      </c>
      <c r="H635" s="58">
        <f t="shared" si="237"/>
        <v>34</v>
      </c>
      <c r="I635" s="58">
        <f t="shared" si="237"/>
        <v>34</v>
      </c>
      <c r="J635" s="58">
        <f t="shared" si="237"/>
        <v>34</v>
      </c>
    </row>
    <row r="636" spans="1:10" s="8" customFormat="1" ht="38.25" x14ac:dyDescent="0.25">
      <c r="A636" s="3"/>
      <c r="B636" s="91"/>
      <c r="C636" s="21" t="s">
        <v>93</v>
      </c>
      <c r="D636" s="21" t="s">
        <v>121</v>
      </c>
      <c r="E636" s="21" t="s">
        <v>226</v>
      </c>
      <c r="F636" s="82"/>
      <c r="G636" s="98" t="s">
        <v>337</v>
      </c>
      <c r="H636" s="41">
        <f t="shared" si="237"/>
        <v>34</v>
      </c>
      <c r="I636" s="41">
        <f t="shared" si="237"/>
        <v>34</v>
      </c>
      <c r="J636" s="41">
        <f t="shared" si="237"/>
        <v>34</v>
      </c>
    </row>
    <row r="637" spans="1:10" s="8" customFormat="1" ht="63.75" x14ac:dyDescent="0.25">
      <c r="A637" s="3"/>
      <c r="B637" s="91"/>
      <c r="C637" s="21" t="s">
        <v>93</v>
      </c>
      <c r="D637" s="21" t="s">
        <v>121</v>
      </c>
      <c r="E637" s="21" t="s">
        <v>513</v>
      </c>
      <c r="F637" s="16"/>
      <c r="G637" s="98" t="s">
        <v>338</v>
      </c>
      <c r="H637" s="41">
        <f t="shared" si="237"/>
        <v>34</v>
      </c>
      <c r="I637" s="41">
        <f t="shared" si="237"/>
        <v>34</v>
      </c>
      <c r="J637" s="41">
        <f t="shared" si="237"/>
        <v>34</v>
      </c>
    </row>
    <row r="638" spans="1:10" s="8" customFormat="1" ht="25.5" x14ac:dyDescent="0.25">
      <c r="A638" s="3"/>
      <c r="B638" s="91"/>
      <c r="C638" s="21" t="s">
        <v>93</v>
      </c>
      <c r="D638" s="21" t="s">
        <v>121</v>
      </c>
      <c r="E638" s="21" t="s">
        <v>513</v>
      </c>
      <c r="F638" s="82" t="s">
        <v>64</v>
      </c>
      <c r="G638" s="55" t="s">
        <v>130</v>
      </c>
      <c r="H638" s="41">
        <v>34</v>
      </c>
      <c r="I638" s="41">
        <v>34</v>
      </c>
      <c r="J638" s="41">
        <v>34</v>
      </c>
    </row>
    <row r="639" spans="1:10" ht="15.75" x14ac:dyDescent="0.25">
      <c r="A639" s="3"/>
      <c r="B639" s="91"/>
      <c r="C639" s="4" t="s">
        <v>104</v>
      </c>
      <c r="D639" s="3"/>
      <c r="E639" s="3"/>
      <c r="F639" s="3"/>
      <c r="G639" s="49" t="s">
        <v>105</v>
      </c>
      <c r="H639" s="92">
        <f>H640+H656</f>
        <v>31536.9</v>
      </c>
      <c r="I639" s="92">
        <f>I640+I656</f>
        <v>25699</v>
      </c>
      <c r="J639" s="92">
        <f>J640+J656</f>
        <v>25699</v>
      </c>
    </row>
    <row r="640" spans="1:10" s="37" customFormat="1" ht="14.25" x14ac:dyDescent="0.2">
      <c r="A640" s="27"/>
      <c r="B640" s="70"/>
      <c r="C640" s="35" t="s">
        <v>104</v>
      </c>
      <c r="D640" s="35" t="s">
        <v>93</v>
      </c>
      <c r="E640" s="35"/>
      <c r="F640" s="35"/>
      <c r="G640" s="45" t="s">
        <v>156</v>
      </c>
      <c r="H640" s="42">
        <f>H641+H653</f>
        <v>19191.900000000001</v>
      </c>
      <c r="I640" s="42">
        <f>I641+I653</f>
        <v>17971.600000000002</v>
      </c>
      <c r="J640" s="42">
        <f>J641+J653</f>
        <v>17971.600000000002</v>
      </c>
    </row>
    <row r="641" spans="1:10" s="37" customFormat="1" ht="90" x14ac:dyDescent="0.25">
      <c r="A641" s="27"/>
      <c r="B641" s="70"/>
      <c r="C641" s="16" t="s">
        <v>104</v>
      </c>
      <c r="D641" s="82" t="s">
        <v>93</v>
      </c>
      <c r="E641" s="73" t="s">
        <v>59</v>
      </c>
      <c r="F641" s="35"/>
      <c r="G641" s="53" t="s">
        <v>572</v>
      </c>
      <c r="H641" s="65">
        <f t="shared" ref="H641:J641" si="238">H642</f>
        <v>19091.900000000001</v>
      </c>
      <c r="I641" s="65">
        <f t="shared" si="238"/>
        <v>17971.600000000002</v>
      </c>
      <c r="J641" s="65">
        <f t="shared" si="238"/>
        <v>17971.600000000002</v>
      </c>
    </row>
    <row r="642" spans="1:10" s="37" customFormat="1" ht="25.5" x14ac:dyDescent="0.2">
      <c r="A642" s="27"/>
      <c r="B642" s="70"/>
      <c r="C642" s="16" t="s">
        <v>104</v>
      </c>
      <c r="D642" s="82" t="s">
        <v>93</v>
      </c>
      <c r="E642" s="52" t="s">
        <v>60</v>
      </c>
      <c r="F642" s="35"/>
      <c r="G642" s="48" t="s">
        <v>171</v>
      </c>
      <c r="H642" s="58">
        <f>H643+H650</f>
        <v>19091.900000000001</v>
      </c>
      <c r="I642" s="58">
        <f t="shared" ref="I642:J642" si="239">I643+I650</f>
        <v>17971.600000000002</v>
      </c>
      <c r="J642" s="58">
        <f t="shared" si="239"/>
        <v>17971.600000000002</v>
      </c>
    </row>
    <row r="643" spans="1:10" s="37" customFormat="1" ht="25.5" x14ac:dyDescent="0.2">
      <c r="A643" s="27"/>
      <c r="B643" s="70"/>
      <c r="C643" s="16" t="s">
        <v>104</v>
      </c>
      <c r="D643" s="82" t="s">
        <v>93</v>
      </c>
      <c r="E643" s="21" t="s">
        <v>252</v>
      </c>
      <c r="F643" s="21"/>
      <c r="G643" s="101" t="s">
        <v>439</v>
      </c>
      <c r="H643" s="39">
        <f>H644+H646+H648</f>
        <v>18671.600000000002</v>
      </c>
      <c r="I643" s="39">
        <f>I644+I646+I648</f>
        <v>17971.600000000002</v>
      </c>
      <c r="J643" s="39">
        <f>J644+J646+J648</f>
        <v>17971.600000000002</v>
      </c>
    </row>
    <row r="644" spans="1:10" s="20" customFormat="1" ht="25.5" customHeight="1" x14ac:dyDescent="0.25">
      <c r="A644" s="18"/>
      <c r="B644" s="71"/>
      <c r="C644" s="16" t="s">
        <v>104</v>
      </c>
      <c r="D644" s="82" t="s">
        <v>93</v>
      </c>
      <c r="E644" s="74">
        <v>210221100</v>
      </c>
      <c r="F644" s="16"/>
      <c r="G644" s="99" t="s">
        <v>173</v>
      </c>
      <c r="H644" s="39">
        <f>H645</f>
        <v>12164</v>
      </c>
      <c r="I644" s="39">
        <f>I645</f>
        <v>11464</v>
      </c>
      <c r="J644" s="39">
        <f>J645</f>
        <v>11464</v>
      </c>
    </row>
    <row r="645" spans="1:10" x14ac:dyDescent="0.2">
      <c r="A645" s="1"/>
      <c r="B645" s="25"/>
      <c r="C645" s="16" t="s">
        <v>104</v>
      </c>
      <c r="D645" s="82" t="s">
        <v>93</v>
      </c>
      <c r="E645" s="74">
        <v>210221100</v>
      </c>
      <c r="F645" s="21" t="s">
        <v>225</v>
      </c>
      <c r="G645" s="98" t="s">
        <v>224</v>
      </c>
      <c r="H645" s="39">
        <f>11484.2+700-20.2</f>
        <v>12164</v>
      </c>
      <c r="I645" s="39">
        <f>11484.2-20.2</f>
        <v>11464</v>
      </c>
      <c r="J645" s="39">
        <f>11484.2-20.2</f>
        <v>11464</v>
      </c>
    </row>
    <row r="646" spans="1:10" ht="76.5" x14ac:dyDescent="0.2">
      <c r="A646" s="1"/>
      <c r="B646" s="25"/>
      <c r="C646" s="16" t="s">
        <v>104</v>
      </c>
      <c r="D646" s="82" t="s">
        <v>93</v>
      </c>
      <c r="E646" s="74">
        <v>210210690</v>
      </c>
      <c r="F646" s="21"/>
      <c r="G646" s="98" t="s">
        <v>314</v>
      </c>
      <c r="H646" s="39">
        <f>H647</f>
        <v>6436.2</v>
      </c>
      <c r="I646" s="39">
        <f>I647</f>
        <v>6436.2</v>
      </c>
      <c r="J646" s="39">
        <f>J647</f>
        <v>6436.2</v>
      </c>
    </row>
    <row r="647" spans="1:10" x14ac:dyDescent="0.2">
      <c r="A647" s="1"/>
      <c r="B647" s="25"/>
      <c r="C647" s="16" t="s">
        <v>104</v>
      </c>
      <c r="D647" s="82" t="s">
        <v>93</v>
      </c>
      <c r="E647" s="74">
        <v>210210690</v>
      </c>
      <c r="F647" s="21" t="s">
        <v>225</v>
      </c>
      <c r="G647" s="98" t="s">
        <v>224</v>
      </c>
      <c r="H647" s="132">
        <f>5071.4+1364.8</f>
        <v>6436.2</v>
      </c>
      <c r="I647" s="132">
        <f t="shared" ref="I647:J647" si="240">5071.4+1364.8</f>
        <v>6436.2</v>
      </c>
      <c r="J647" s="132">
        <f t="shared" si="240"/>
        <v>6436.2</v>
      </c>
    </row>
    <row r="648" spans="1:10" ht="63.75" x14ac:dyDescent="0.2">
      <c r="A648" s="1"/>
      <c r="B648" s="25"/>
      <c r="C648" s="16" t="s">
        <v>104</v>
      </c>
      <c r="D648" s="82" t="s">
        <v>93</v>
      </c>
      <c r="E648" s="74" t="s">
        <v>440</v>
      </c>
      <c r="F648" s="82"/>
      <c r="G648" s="98" t="s">
        <v>315</v>
      </c>
      <c r="H648" s="39">
        <f>SUM(H649:H649)</f>
        <v>71.400000000000006</v>
      </c>
      <c r="I648" s="39">
        <f>SUM(I649:I649)</f>
        <v>71.400000000000006</v>
      </c>
      <c r="J648" s="39">
        <f>SUM(J649:J649)</f>
        <v>71.400000000000006</v>
      </c>
    </row>
    <row r="649" spans="1:10" x14ac:dyDescent="0.2">
      <c r="A649" s="1"/>
      <c r="B649" s="25"/>
      <c r="C649" s="82" t="s">
        <v>104</v>
      </c>
      <c r="D649" s="82" t="s">
        <v>93</v>
      </c>
      <c r="E649" s="74" t="s">
        <v>440</v>
      </c>
      <c r="F649" s="21" t="s">
        <v>225</v>
      </c>
      <c r="G649" s="98" t="s">
        <v>224</v>
      </c>
      <c r="H649" s="39">
        <f>51.2+20.2</f>
        <v>71.400000000000006</v>
      </c>
      <c r="I649" s="39">
        <f t="shared" ref="I649:J649" si="241">51.2+20.2</f>
        <v>71.400000000000006</v>
      </c>
      <c r="J649" s="39">
        <f t="shared" si="241"/>
        <v>71.400000000000006</v>
      </c>
    </row>
    <row r="650" spans="1:10" ht="76.5" x14ac:dyDescent="0.2">
      <c r="A650" s="1"/>
      <c r="B650" s="25"/>
      <c r="C650" s="16" t="s">
        <v>104</v>
      </c>
      <c r="D650" s="82" t="s">
        <v>93</v>
      </c>
      <c r="E650" s="21" t="s">
        <v>719</v>
      </c>
      <c r="F650" s="35"/>
      <c r="G650" s="98" t="s">
        <v>720</v>
      </c>
      <c r="H650" s="41">
        <f>H651</f>
        <v>420.3</v>
      </c>
      <c r="I650" s="41">
        <f t="shared" ref="I650:J650" si="242">I651+I653</f>
        <v>0</v>
      </c>
      <c r="J650" s="41">
        <f t="shared" si="242"/>
        <v>0</v>
      </c>
    </row>
    <row r="651" spans="1:10" ht="63.75" x14ac:dyDescent="0.2">
      <c r="A651" s="1"/>
      <c r="B651" s="25"/>
      <c r="C651" s="16" t="s">
        <v>104</v>
      </c>
      <c r="D651" s="82" t="s">
        <v>93</v>
      </c>
      <c r="E651" s="133" t="s">
        <v>721</v>
      </c>
      <c r="F651" s="21"/>
      <c r="G651" s="124" t="s">
        <v>722</v>
      </c>
      <c r="H651" s="39">
        <f>H652</f>
        <v>420.3</v>
      </c>
      <c r="I651" s="39">
        <f t="shared" ref="I651:J651" si="243">I652</f>
        <v>0</v>
      </c>
      <c r="J651" s="39">
        <f t="shared" si="243"/>
        <v>0</v>
      </c>
    </row>
    <row r="652" spans="1:10" x14ac:dyDescent="0.2">
      <c r="A652" s="1"/>
      <c r="B652" s="25"/>
      <c r="C652" s="16" t="s">
        <v>104</v>
      </c>
      <c r="D652" s="82" t="s">
        <v>93</v>
      </c>
      <c r="E652" s="133" t="s">
        <v>721</v>
      </c>
      <c r="F652" s="21" t="s">
        <v>225</v>
      </c>
      <c r="G652" s="98" t="s">
        <v>224</v>
      </c>
      <c r="H652" s="39">
        <v>420.3</v>
      </c>
      <c r="I652" s="39">
        <v>0</v>
      </c>
      <c r="J652" s="39">
        <v>0</v>
      </c>
    </row>
    <row r="653" spans="1:10" ht="38.25" x14ac:dyDescent="0.2">
      <c r="A653" s="1"/>
      <c r="B653" s="25"/>
      <c r="C653" s="82" t="s">
        <v>104</v>
      </c>
      <c r="D653" s="82" t="s">
        <v>93</v>
      </c>
      <c r="E653" s="82" t="s">
        <v>24</v>
      </c>
      <c r="F653" s="82"/>
      <c r="G653" s="99" t="s">
        <v>38</v>
      </c>
      <c r="H653" s="41">
        <f>H654</f>
        <v>100</v>
      </c>
      <c r="I653" s="41">
        <f t="shared" ref="I653:J653" si="244">I654</f>
        <v>0</v>
      </c>
      <c r="J653" s="41">
        <f t="shared" si="244"/>
        <v>0</v>
      </c>
    </row>
    <row r="654" spans="1:10" ht="51" x14ac:dyDescent="0.2">
      <c r="A654" s="1"/>
      <c r="B654" s="25"/>
      <c r="C654" s="16" t="s">
        <v>104</v>
      </c>
      <c r="D654" s="82" t="s">
        <v>93</v>
      </c>
      <c r="E654" s="82" t="s">
        <v>568</v>
      </c>
      <c r="F654" s="16"/>
      <c r="G654" s="54" t="s">
        <v>566</v>
      </c>
      <c r="H654" s="41">
        <f>SUM(H655:H655)</f>
        <v>100</v>
      </c>
      <c r="I654" s="41">
        <f>SUM(I655:I655)</f>
        <v>0</v>
      </c>
      <c r="J654" s="41">
        <f>SUM(J655:J655)</f>
        <v>0</v>
      </c>
    </row>
    <row r="655" spans="1:10" x14ac:dyDescent="0.2">
      <c r="A655" s="1"/>
      <c r="B655" s="25"/>
      <c r="C655" s="16" t="s">
        <v>104</v>
      </c>
      <c r="D655" s="82" t="s">
        <v>93</v>
      </c>
      <c r="E655" s="82" t="s">
        <v>568</v>
      </c>
      <c r="F655" s="21" t="s">
        <v>225</v>
      </c>
      <c r="G655" s="98" t="s">
        <v>224</v>
      </c>
      <c r="H655" s="39">
        <v>100</v>
      </c>
      <c r="I655" s="39">
        <v>0</v>
      </c>
      <c r="J655" s="39">
        <v>0</v>
      </c>
    </row>
    <row r="656" spans="1:10" s="37" customFormat="1" ht="14.25" x14ac:dyDescent="0.2">
      <c r="A656" s="27"/>
      <c r="B656" s="70"/>
      <c r="C656" s="35" t="s">
        <v>104</v>
      </c>
      <c r="D656" s="35" t="s">
        <v>104</v>
      </c>
      <c r="E656" s="35"/>
      <c r="F656" s="35"/>
      <c r="G656" s="46" t="s">
        <v>155</v>
      </c>
      <c r="H656" s="42">
        <f>H657+H676</f>
        <v>12345</v>
      </c>
      <c r="I656" s="42">
        <f t="shared" ref="I656:J656" si="245">I657+I676</f>
        <v>7727.4</v>
      </c>
      <c r="J656" s="42">
        <f t="shared" si="245"/>
        <v>7727.4</v>
      </c>
    </row>
    <row r="657" spans="1:10" s="37" customFormat="1" ht="90" x14ac:dyDescent="0.25">
      <c r="A657" s="27"/>
      <c r="B657" s="70"/>
      <c r="C657" s="16" t="s">
        <v>104</v>
      </c>
      <c r="D657" s="16" t="s">
        <v>104</v>
      </c>
      <c r="E657" s="73" t="s">
        <v>59</v>
      </c>
      <c r="F657" s="35"/>
      <c r="G657" s="53" t="s">
        <v>572</v>
      </c>
      <c r="H657" s="65">
        <f>H658</f>
        <v>12265</v>
      </c>
      <c r="I657" s="65">
        <f t="shared" ref="I657:J657" si="246">I658</f>
        <v>7677.4</v>
      </c>
      <c r="J657" s="65">
        <f t="shared" si="246"/>
        <v>7677.4</v>
      </c>
    </row>
    <row r="658" spans="1:10" ht="25.5" x14ac:dyDescent="0.2">
      <c r="A658" s="1"/>
      <c r="B658" s="25"/>
      <c r="C658" s="16" t="s">
        <v>104</v>
      </c>
      <c r="D658" s="16" t="s">
        <v>104</v>
      </c>
      <c r="E658" s="52" t="s">
        <v>30</v>
      </c>
      <c r="F658" s="21"/>
      <c r="G658" s="48" t="s">
        <v>177</v>
      </c>
      <c r="H658" s="41">
        <f>H659+H668+H671</f>
        <v>12265</v>
      </c>
      <c r="I658" s="41">
        <f t="shared" ref="I658:J658" si="247">I659+I668+I671</f>
        <v>7677.4</v>
      </c>
      <c r="J658" s="41">
        <f t="shared" si="247"/>
        <v>7677.4</v>
      </c>
    </row>
    <row r="659" spans="1:10" ht="38.25" x14ac:dyDescent="0.2">
      <c r="A659" s="1"/>
      <c r="B659" s="25"/>
      <c r="C659" s="16" t="s">
        <v>104</v>
      </c>
      <c r="D659" s="16" t="s">
        <v>104</v>
      </c>
      <c r="E659" s="21" t="s">
        <v>209</v>
      </c>
      <c r="F659" s="16"/>
      <c r="G659" s="101" t="s">
        <v>308</v>
      </c>
      <c r="H659" s="41">
        <f>H660+H662+H664+H666</f>
        <v>361.20000000000005</v>
      </c>
      <c r="I659" s="41">
        <f>I660+I662+I664+I666</f>
        <v>361.20000000000005</v>
      </c>
      <c r="J659" s="41">
        <f>J660+J662+J664+J666</f>
        <v>361.20000000000005</v>
      </c>
    </row>
    <row r="660" spans="1:10" ht="51" x14ac:dyDescent="0.2">
      <c r="A660" s="1"/>
      <c r="B660" s="25"/>
      <c r="C660" s="16" t="s">
        <v>104</v>
      </c>
      <c r="D660" s="16" t="s">
        <v>104</v>
      </c>
      <c r="E660" s="135" t="s">
        <v>450</v>
      </c>
      <c r="F660" s="16"/>
      <c r="G660" s="100" t="s">
        <v>206</v>
      </c>
      <c r="H660" s="39">
        <f>H661</f>
        <v>6.6</v>
      </c>
      <c r="I660" s="39">
        <f>I661</f>
        <v>6.6</v>
      </c>
      <c r="J660" s="39">
        <f>J661</f>
        <v>6.6</v>
      </c>
    </row>
    <row r="661" spans="1:10" ht="38.25" x14ac:dyDescent="0.2">
      <c r="A661" s="1"/>
      <c r="B661" s="25"/>
      <c r="C661" s="16" t="s">
        <v>104</v>
      </c>
      <c r="D661" s="16" t="s">
        <v>104</v>
      </c>
      <c r="E661" s="135" t="s">
        <v>450</v>
      </c>
      <c r="F661" s="82" t="s">
        <v>211</v>
      </c>
      <c r="G661" s="98" t="s">
        <v>212</v>
      </c>
      <c r="H661" s="41">
        <v>6.6</v>
      </c>
      <c r="I661" s="41">
        <v>6.6</v>
      </c>
      <c r="J661" s="41">
        <v>6.6</v>
      </c>
    </row>
    <row r="662" spans="1:10" ht="25.5" x14ac:dyDescent="0.2">
      <c r="A662" s="1"/>
      <c r="B662" s="25"/>
      <c r="C662" s="16" t="s">
        <v>104</v>
      </c>
      <c r="D662" s="16" t="s">
        <v>104</v>
      </c>
      <c r="E662" s="135" t="s">
        <v>451</v>
      </c>
      <c r="F662" s="16"/>
      <c r="G662" s="98" t="s">
        <v>178</v>
      </c>
      <c r="H662" s="41">
        <f>H663</f>
        <v>289.60000000000002</v>
      </c>
      <c r="I662" s="41">
        <f>I663</f>
        <v>289.60000000000002</v>
      </c>
      <c r="J662" s="41">
        <f>J663</f>
        <v>289.60000000000002</v>
      </c>
    </row>
    <row r="663" spans="1:10" ht="38.25" x14ac:dyDescent="0.2">
      <c r="A663" s="1"/>
      <c r="B663" s="25"/>
      <c r="C663" s="16" t="s">
        <v>104</v>
      </c>
      <c r="D663" s="16" t="s">
        <v>104</v>
      </c>
      <c r="E663" s="135" t="s">
        <v>451</v>
      </c>
      <c r="F663" s="82" t="s">
        <v>211</v>
      </c>
      <c r="G663" s="98" t="s">
        <v>212</v>
      </c>
      <c r="H663" s="41">
        <v>289.60000000000002</v>
      </c>
      <c r="I663" s="41">
        <v>289.60000000000002</v>
      </c>
      <c r="J663" s="41">
        <v>289.60000000000002</v>
      </c>
    </row>
    <row r="664" spans="1:10" ht="63.75" x14ac:dyDescent="0.2">
      <c r="A664" s="1"/>
      <c r="B664" s="25"/>
      <c r="C664" s="16" t="s">
        <v>104</v>
      </c>
      <c r="D664" s="16" t="s">
        <v>104</v>
      </c>
      <c r="E664" s="135" t="s">
        <v>452</v>
      </c>
      <c r="F664" s="16"/>
      <c r="G664" s="98" t="s">
        <v>77</v>
      </c>
      <c r="H664" s="41">
        <f>H665</f>
        <v>15</v>
      </c>
      <c r="I664" s="41">
        <f>I665</f>
        <v>15</v>
      </c>
      <c r="J664" s="41">
        <f>J665</f>
        <v>15</v>
      </c>
    </row>
    <row r="665" spans="1:10" ht="38.25" x14ac:dyDescent="0.2">
      <c r="A665" s="1"/>
      <c r="B665" s="25"/>
      <c r="C665" s="16" t="s">
        <v>104</v>
      </c>
      <c r="D665" s="16" t="s">
        <v>104</v>
      </c>
      <c r="E665" s="135" t="s">
        <v>452</v>
      </c>
      <c r="F665" s="82" t="s">
        <v>211</v>
      </c>
      <c r="G665" s="98" t="s">
        <v>212</v>
      </c>
      <c r="H665" s="41">
        <v>15</v>
      </c>
      <c r="I665" s="41">
        <v>15</v>
      </c>
      <c r="J665" s="41">
        <v>15</v>
      </c>
    </row>
    <row r="666" spans="1:10" x14ac:dyDescent="0.2">
      <c r="A666" s="1"/>
      <c r="B666" s="25"/>
      <c r="C666" s="16" t="s">
        <v>104</v>
      </c>
      <c r="D666" s="16" t="s">
        <v>104</v>
      </c>
      <c r="E666" s="135" t="s">
        <v>453</v>
      </c>
      <c r="F666" s="82"/>
      <c r="G666" s="54" t="s">
        <v>374</v>
      </c>
      <c r="H666" s="41">
        <f>H667</f>
        <v>50</v>
      </c>
      <c r="I666" s="41">
        <f>I667</f>
        <v>50</v>
      </c>
      <c r="J666" s="41">
        <f>J667</f>
        <v>50</v>
      </c>
    </row>
    <row r="667" spans="1:10" ht="38.25" x14ac:dyDescent="0.2">
      <c r="A667" s="1"/>
      <c r="B667" s="25"/>
      <c r="C667" s="16" t="s">
        <v>104</v>
      </c>
      <c r="D667" s="16" t="s">
        <v>104</v>
      </c>
      <c r="E667" s="135" t="s">
        <v>453</v>
      </c>
      <c r="F667" s="82" t="s">
        <v>211</v>
      </c>
      <c r="G667" s="98" t="s">
        <v>212</v>
      </c>
      <c r="H667" s="41">
        <v>50</v>
      </c>
      <c r="I667" s="41">
        <v>50</v>
      </c>
      <c r="J667" s="41">
        <v>50</v>
      </c>
    </row>
    <row r="668" spans="1:10" ht="76.5" x14ac:dyDescent="0.2">
      <c r="A668" s="1"/>
      <c r="B668" s="25"/>
      <c r="C668" s="16" t="s">
        <v>104</v>
      </c>
      <c r="D668" s="16" t="s">
        <v>104</v>
      </c>
      <c r="E668" s="21" t="s">
        <v>258</v>
      </c>
      <c r="F668" s="16"/>
      <c r="G668" s="101" t="s">
        <v>259</v>
      </c>
      <c r="H668" s="41">
        <f t="shared" ref="H668:J669" si="248">H669</f>
        <v>11039.8</v>
      </c>
      <c r="I668" s="41">
        <f t="shared" si="248"/>
        <v>7316.2</v>
      </c>
      <c r="J668" s="41">
        <f t="shared" si="248"/>
        <v>7316.2</v>
      </c>
    </row>
    <row r="669" spans="1:10" ht="41.25" customHeight="1" x14ac:dyDescent="0.2">
      <c r="A669" s="1"/>
      <c r="B669" s="25"/>
      <c r="C669" s="16" t="s">
        <v>104</v>
      </c>
      <c r="D669" s="16" t="s">
        <v>104</v>
      </c>
      <c r="E669" s="74">
        <v>230221100</v>
      </c>
      <c r="F669" s="16"/>
      <c r="G669" s="98" t="s">
        <v>0</v>
      </c>
      <c r="H669" s="41">
        <f t="shared" si="248"/>
        <v>11039.8</v>
      </c>
      <c r="I669" s="41">
        <f t="shared" si="248"/>
        <v>7316.2</v>
      </c>
      <c r="J669" s="41">
        <f t="shared" si="248"/>
        <v>7316.2</v>
      </c>
    </row>
    <row r="670" spans="1:10" x14ac:dyDescent="0.2">
      <c r="A670" s="1"/>
      <c r="B670" s="25"/>
      <c r="C670" s="16" t="s">
        <v>104</v>
      </c>
      <c r="D670" s="16" t="s">
        <v>104</v>
      </c>
      <c r="E670" s="74">
        <v>230221100</v>
      </c>
      <c r="F670" s="82" t="s">
        <v>225</v>
      </c>
      <c r="G670" s="98" t="s">
        <v>224</v>
      </c>
      <c r="H670" s="41">
        <f>10339.8+700</f>
        <v>11039.8</v>
      </c>
      <c r="I670" s="41">
        <v>7316.2</v>
      </c>
      <c r="J670" s="41">
        <v>7316.2</v>
      </c>
    </row>
    <row r="671" spans="1:10" ht="63.75" x14ac:dyDescent="0.2">
      <c r="A671" s="1"/>
      <c r="B671" s="25"/>
      <c r="C671" s="16" t="s">
        <v>104</v>
      </c>
      <c r="D671" s="16" t="s">
        <v>104</v>
      </c>
      <c r="E671" s="21" t="s">
        <v>456</v>
      </c>
      <c r="F671" s="82"/>
      <c r="G671" s="98" t="s">
        <v>455</v>
      </c>
      <c r="H671" s="41">
        <f>H672+H674</f>
        <v>864</v>
      </c>
      <c r="I671" s="41">
        <f t="shared" ref="I671:J671" si="249">I672+I674</f>
        <v>0</v>
      </c>
      <c r="J671" s="41">
        <f t="shared" si="249"/>
        <v>0</v>
      </c>
    </row>
    <row r="672" spans="1:10" ht="56.25" customHeight="1" x14ac:dyDescent="0.2">
      <c r="A672" s="1"/>
      <c r="B672" s="25"/>
      <c r="C672" s="16" t="s">
        <v>104</v>
      </c>
      <c r="D672" s="16" t="s">
        <v>104</v>
      </c>
      <c r="E672" s="74">
        <v>230321210</v>
      </c>
      <c r="F672" s="82"/>
      <c r="G672" s="98" t="s">
        <v>454</v>
      </c>
      <c r="H672" s="41">
        <f t="shared" ref="H672:J672" si="250">H673</f>
        <v>90</v>
      </c>
      <c r="I672" s="41">
        <f t="shared" si="250"/>
        <v>0</v>
      </c>
      <c r="J672" s="41">
        <f t="shared" si="250"/>
        <v>0</v>
      </c>
    </row>
    <row r="673" spans="1:10" x14ac:dyDescent="0.2">
      <c r="A673" s="1"/>
      <c r="B673" s="25"/>
      <c r="C673" s="82" t="s">
        <v>104</v>
      </c>
      <c r="D673" s="82" t="s">
        <v>104</v>
      </c>
      <c r="E673" s="74">
        <v>230321210</v>
      </c>
      <c r="F673" s="21" t="s">
        <v>225</v>
      </c>
      <c r="G673" s="98" t="s">
        <v>224</v>
      </c>
      <c r="H673" s="41">
        <v>90</v>
      </c>
      <c r="I673" s="41">
        <v>0</v>
      </c>
      <c r="J673" s="41">
        <v>0</v>
      </c>
    </row>
    <row r="674" spans="1:10" ht="51" x14ac:dyDescent="0.2">
      <c r="A674" s="1"/>
      <c r="B674" s="25"/>
      <c r="C674" s="16" t="s">
        <v>104</v>
      </c>
      <c r="D674" s="16" t="s">
        <v>104</v>
      </c>
      <c r="E674" s="74">
        <v>230321220</v>
      </c>
      <c r="F674" s="21"/>
      <c r="G674" s="98" t="s">
        <v>679</v>
      </c>
      <c r="H674" s="41">
        <f>H675</f>
        <v>774</v>
      </c>
      <c r="I674" s="41">
        <f t="shared" ref="I674:J674" si="251">I675</f>
        <v>0</v>
      </c>
      <c r="J674" s="41">
        <f t="shared" si="251"/>
        <v>0</v>
      </c>
    </row>
    <row r="675" spans="1:10" x14ac:dyDescent="0.2">
      <c r="A675" s="1"/>
      <c r="B675" s="25"/>
      <c r="C675" s="82" t="s">
        <v>104</v>
      </c>
      <c r="D675" s="82" t="s">
        <v>104</v>
      </c>
      <c r="E675" s="74">
        <v>230321220</v>
      </c>
      <c r="F675" s="21" t="s">
        <v>225</v>
      </c>
      <c r="G675" s="98" t="s">
        <v>224</v>
      </c>
      <c r="H675" s="41">
        <f>474+300</f>
        <v>774</v>
      </c>
      <c r="I675" s="41">
        <v>0</v>
      </c>
      <c r="J675" s="41">
        <v>0</v>
      </c>
    </row>
    <row r="676" spans="1:10" ht="89.25" x14ac:dyDescent="0.2">
      <c r="A676" s="1"/>
      <c r="B676" s="25"/>
      <c r="C676" s="5" t="s">
        <v>104</v>
      </c>
      <c r="D676" s="5" t="s">
        <v>104</v>
      </c>
      <c r="E676" s="73" t="s">
        <v>71</v>
      </c>
      <c r="F676" s="82"/>
      <c r="G676" s="53" t="s">
        <v>582</v>
      </c>
      <c r="H676" s="96">
        <f>H677+H683</f>
        <v>80</v>
      </c>
      <c r="I676" s="96">
        <f t="shared" ref="I676:J677" si="252">I677</f>
        <v>50</v>
      </c>
      <c r="J676" s="96">
        <f t="shared" si="252"/>
        <v>50</v>
      </c>
    </row>
    <row r="677" spans="1:10" ht="76.5" x14ac:dyDescent="0.2">
      <c r="A677" s="1"/>
      <c r="B677" s="25"/>
      <c r="C677" s="47" t="s">
        <v>104</v>
      </c>
      <c r="D677" s="47" t="s">
        <v>104</v>
      </c>
      <c r="E677" s="52" t="s">
        <v>514</v>
      </c>
      <c r="F677" s="16"/>
      <c r="G677" s="48" t="s">
        <v>179</v>
      </c>
      <c r="H677" s="93">
        <f>H678</f>
        <v>40</v>
      </c>
      <c r="I677" s="93">
        <f t="shared" si="252"/>
        <v>50</v>
      </c>
      <c r="J677" s="93">
        <f t="shared" si="252"/>
        <v>50</v>
      </c>
    </row>
    <row r="678" spans="1:10" ht="51" x14ac:dyDescent="0.2">
      <c r="A678" s="1"/>
      <c r="B678" s="25"/>
      <c r="C678" s="16" t="s">
        <v>104</v>
      </c>
      <c r="D678" s="16" t="s">
        <v>104</v>
      </c>
      <c r="E678" s="21" t="s">
        <v>515</v>
      </c>
      <c r="F678" s="16"/>
      <c r="G678" s="99" t="s">
        <v>312</v>
      </c>
      <c r="H678" s="39">
        <f>H679+H681</f>
        <v>40</v>
      </c>
      <c r="I678" s="39">
        <f>I679+I681</f>
        <v>50</v>
      </c>
      <c r="J678" s="39">
        <f>J679+J681</f>
        <v>50</v>
      </c>
    </row>
    <row r="679" spans="1:10" ht="102" x14ac:dyDescent="0.2">
      <c r="A679" s="1"/>
      <c r="B679" s="25"/>
      <c r="C679" s="16" t="s">
        <v>104</v>
      </c>
      <c r="D679" s="16" t="s">
        <v>104</v>
      </c>
      <c r="E679" s="74">
        <v>1020123085</v>
      </c>
      <c r="F679" s="16"/>
      <c r="G679" s="98" t="s">
        <v>180</v>
      </c>
      <c r="H679" s="41">
        <f>H680</f>
        <v>5</v>
      </c>
      <c r="I679" s="41">
        <f>I680</f>
        <v>5</v>
      </c>
      <c r="J679" s="41">
        <f>J680</f>
        <v>5</v>
      </c>
    </row>
    <row r="680" spans="1:10" ht="38.25" x14ac:dyDescent="0.2">
      <c r="A680" s="1"/>
      <c r="B680" s="25"/>
      <c r="C680" s="16" t="s">
        <v>104</v>
      </c>
      <c r="D680" s="16" t="s">
        <v>104</v>
      </c>
      <c r="E680" s="74">
        <v>1020123085</v>
      </c>
      <c r="F680" s="82" t="s">
        <v>211</v>
      </c>
      <c r="G680" s="98" t="s">
        <v>212</v>
      </c>
      <c r="H680" s="41">
        <v>5</v>
      </c>
      <c r="I680" s="41">
        <v>5</v>
      </c>
      <c r="J680" s="41">
        <v>5</v>
      </c>
    </row>
    <row r="681" spans="1:10" x14ac:dyDescent="0.2">
      <c r="A681" s="1"/>
      <c r="B681" s="25"/>
      <c r="C681" s="16" t="s">
        <v>104</v>
      </c>
      <c r="D681" s="16" t="s">
        <v>104</v>
      </c>
      <c r="E681" s="74">
        <v>1020123086</v>
      </c>
      <c r="F681" s="16"/>
      <c r="G681" s="98" t="s">
        <v>181</v>
      </c>
      <c r="H681" s="41">
        <f>H682</f>
        <v>35</v>
      </c>
      <c r="I681" s="41">
        <f>I682</f>
        <v>45</v>
      </c>
      <c r="J681" s="41">
        <f>J682</f>
        <v>45</v>
      </c>
    </row>
    <row r="682" spans="1:10" ht="38.25" x14ac:dyDescent="0.2">
      <c r="A682" s="1"/>
      <c r="B682" s="25"/>
      <c r="C682" s="16" t="s">
        <v>104</v>
      </c>
      <c r="D682" s="16" t="s">
        <v>104</v>
      </c>
      <c r="E682" s="74">
        <v>1020123086</v>
      </c>
      <c r="F682" s="82" t="s">
        <v>211</v>
      </c>
      <c r="G682" s="98" t="s">
        <v>212</v>
      </c>
      <c r="H682" s="41">
        <v>35</v>
      </c>
      <c r="I682" s="41">
        <v>45</v>
      </c>
      <c r="J682" s="41">
        <v>45</v>
      </c>
    </row>
    <row r="683" spans="1:10" ht="51" x14ac:dyDescent="0.2">
      <c r="A683" s="1"/>
      <c r="B683" s="25"/>
      <c r="C683" s="47" t="s">
        <v>104</v>
      </c>
      <c r="D683" s="47" t="s">
        <v>104</v>
      </c>
      <c r="E683" s="52" t="s">
        <v>613</v>
      </c>
      <c r="F683" s="82"/>
      <c r="G683" s="60" t="s">
        <v>631</v>
      </c>
      <c r="H683" s="93">
        <f>H684</f>
        <v>40</v>
      </c>
      <c r="I683" s="93">
        <f t="shared" ref="I683:J684" si="253">I684</f>
        <v>0</v>
      </c>
      <c r="J683" s="93">
        <f t="shared" si="253"/>
        <v>0</v>
      </c>
    </row>
    <row r="684" spans="1:10" ht="38.25" x14ac:dyDescent="0.2">
      <c r="A684" s="1"/>
      <c r="B684" s="25"/>
      <c r="C684" s="16" t="s">
        <v>104</v>
      </c>
      <c r="D684" s="16" t="s">
        <v>104</v>
      </c>
      <c r="E684" s="74">
        <v>1030300000</v>
      </c>
      <c r="F684" s="82"/>
      <c r="G684" s="98" t="s">
        <v>615</v>
      </c>
      <c r="H684" s="41">
        <f>H685</f>
        <v>40</v>
      </c>
      <c r="I684" s="41">
        <f t="shared" si="253"/>
        <v>0</v>
      </c>
      <c r="J684" s="41">
        <f t="shared" si="253"/>
        <v>0</v>
      </c>
    </row>
    <row r="685" spans="1:10" ht="38.25" x14ac:dyDescent="0.2">
      <c r="A685" s="1"/>
      <c r="B685" s="25"/>
      <c r="C685" s="16" t="s">
        <v>104</v>
      </c>
      <c r="D685" s="16" t="s">
        <v>104</v>
      </c>
      <c r="E685" s="74">
        <v>1030323090</v>
      </c>
      <c r="F685" s="82"/>
      <c r="G685" s="98" t="s">
        <v>614</v>
      </c>
      <c r="H685" s="41">
        <f>H686</f>
        <v>40</v>
      </c>
      <c r="I685" s="41">
        <f t="shared" ref="I685:J685" si="254">I686</f>
        <v>0</v>
      </c>
      <c r="J685" s="41">
        <f t="shared" si="254"/>
        <v>0</v>
      </c>
    </row>
    <row r="686" spans="1:10" ht="38.25" x14ac:dyDescent="0.2">
      <c r="A686" s="1"/>
      <c r="B686" s="25"/>
      <c r="C686" s="16" t="s">
        <v>104</v>
      </c>
      <c r="D686" s="16" t="s">
        <v>104</v>
      </c>
      <c r="E686" s="74">
        <v>1030323090</v>
      </c>
      <c r="F686" s="82" t="s">
        <v>211</v>
      </c>
      <c r="G686" s="98" t="s">
        <v>212</v>
      </c>
      <c r="H686" s="41">
        <v>40</v>
      </c>
      <c r="I686" s="41">
        <v>0</v>
      </c>
      <c r="J686" s="41">
        <v>0</v>
      </c>
    </row>
    <row r="687" spans="1:10" ht="15.75" x14ac:dyDescent="0.25">
      <c r="A687" s="3"/>
      <c r="B687" s="91"/>
      <c r="C687" s="4" t="s">
        <v>101</v>
      </c>
      <c r="D687" s="3"/>
      <c r="E687" s="3"/>
      <c r="F687" s="3"/>
      <c r="G687" s="49" t="s">
        <v>20</v>
      </c>
      <c r="H687" s="92">
        <f>H688+H724</f>
        <v>105711.09999999999</v>
      </c>
      <c r="I687" s="92">
        <f>I688+I724</f>
        <v>82757.600000000006</v>
      </c>
      <c r="J687" s="92">
        <f>J688+J724</f>
        <v>83957.6</v>
      </c>
    </row>
    <row r="688" spans="1:10" s="37" customFormat="1" ht="14.25" x14ac:dyDescent="0.2">
      <c r="A688" s="27"/>
      <c r="B688" s="70"/>
      <c r="C688" s="35" t="s">
        <v>101</v>
      </c>
      <c r="D688" s="35" t="s">
        <v>88</v>
      </c>
      <c r="E688" s="35"/>
      <c r="F688" s="35"/>
      <c r="G688" s="45" t="s">
        <v>106</v>
      </c>
      <c r="H688" s="42">
        <f>H689+H719</f>
        <v>101472.49999999999</v>
      </c>
      <c r="I688" s="42">
        <f>I689+I719</f>
        <v>78729.100000000006</v>
      </c>
      <c r="J688" s="42">
        <f>J689+J719</f>
        <v>79929.100000000006</v>
      </c>
    </row>
    <row r="689" spans="1:13" s="37" customFormat="1" ht="90" x14ac:dyDescent="0.25">
      <c r="A689" s="27"/>
      <c r="B689" s="70"/>
      <c r="C689" s="16" t="s">
        <v>101</v>
      </c>
      <c r="D689" s="16" t="s">
        <v>88</v>
      </c>
      <c r="E689" s="73" t="s">
        <v>59</v>
      </c>
      <c r="F689" s="35"/>
      <c r="G689" s="53" t="s">
        <v>572</v>
      </c>
      <c r="H689" s="65">
        <f t="shared" ref="H689:J689" si="255">H690</f>
        <v>101242.49999999999</v>
      </c>
      <c r="I689" s="65">
        <f t="shared" si="255"/>
        <v>78729.100000000006</v>
      </c>
      <c r="J689" s="65">
        <f t="shared" si="255"/>
        <v>79929.100000000006</v>
      </c>
    </row>
    <row r="690" spans="1:13" s="37" customFormat="1" ht="25.5" x14ac:dyDescent="0.2">
      <c r="A690" s="27"/>
      <c r="B690" s="70"/>
      <c r="C690" s="16" t="s">
        <v>101</v>
      </c>
      <c r="D690" s="16" t="s">
        <v>88</v>
      </c>
      <c r="E690" s="21" t="s">
        <v>60</v>
      </c>
      <c r="F690" s="35"/>
      <c r="G690" s="48" t="s">
        <v>171</v>
      </c>
      <c r="H690" s="58">
        <f>H691+H706+H713+H716</f>
        <v>101242.49999999999</v>
      </c>
      <c r="I690" s="58">
        <f>I691+I706+I713+I716</f>
        <v>78729.100000000006</v>
      </c>
      <c r="J690" s="58">
        <f>J691+J706+J713+J716</f>
        <v>79929.100000000006</v>
      </c>
    </row>
    <row r="691" spans="1:13" s="37" customFormat="1" ht="38.25" x14ac:dyDescent="0.2">
      <c r="A691" s="27"/>
      <c r="B691" s="70"/>
      <c r="C691" s="16" t="s">
        <v>101</v>
      </c>
      <c r="D691" s="16" t="s">
        <v>88</v>
      </c>
      <c r="E691" s="21" t="s">
        <v>208</v>
      </c>
      <c r="F691" s="35"/>
      <c r="G691" s="101" t="s">
        <v>213</v>
      </c>
      <c r="H691" s="94">
        <f>H692+H696+H698+H701+H704</f>
        <v>83159.299999999988</v>
      </c>
      <c r="I691" s="94">
        <f t="shared" ref="I691:J691" si="256">I692+I696+I698+I701+I704</f>
        <v>78693.100000000006</v>
      </c>
      <c r="J691" s="94">
        <f t="shared" si="256"/>
        <v>79893.100000000006</v>
      </c>
    </row>
    <row r="692" spans="1:13" ht="25.5" x14ac:dyDescent="0.2">
      <c r="A692" s="1"/>
      <c r="B692" s="25"/>
      <c r="C692" s="16" t="s">
        <v>101</v>
      </c>
      <c r="D692" s="16" t="s">
        <v>88</v>
      </c>
      <c r="E692" s="74">
        <v>210122900</v>
      </c>
      <c r="F692" s="16"/>
      <c r="G692" s="99" t="s">
        <v>170</v>
      </c>
      <c r="H692" s="39">
        <f>H693+H694+H695</f>
        <v>12425.1</v>
      </c>
      <c r="I692" s="39">
        <f t="shared" ref="I692:J692" si="257">I693+I694+I695</f>
        <v>11826</v>
      </c>
      <c r="J692" s="39">
        <f t="shared" si="257"/>
        <v>11826</v>
      </c>
    </row>
    <row r="693" spans="1:13" ht="25.5" x14ac:dyDescent="0.2">
      <c r="A693" s="1"/>
      <c r="B693" s="25"/>
      <c r="C693" s="16" t="s">
        <v>101</v>
      </c>
      <c r="D693" s="16" t="s">
        <v>88</v>
      </c>
      <c r="E693" s="74">
        <v>210122900</v>
      </c>
      <c r="F693" s="82" t="s">
        <v>64</v>
      </c>
      <c r="G693" s="55" t="s">
        <v>130</v>
      </c>
      <c r="H693" s="39">
        <f>5295.8-160.5-13.7</f>
        <v>5121.6000000000004</v>
      </c>
      <c r="I693" s="39">
        <f>5295.8-13.7</f>
        <v>5282.1</v>
      </c>
      <c r="J693" s="39">
        <f>5295.8-13.7</f>
        <v>5282.1</v>
      </c>
    </row>
    <row r="694" spans="1:13" ht="38.25" x14ac:dyDescent="0.2">
      <c r="A694" s="1"/>
      <c r="B694" s="25"/>
      <c r="C694" s="16" t="s">
        <v>101</v>
      </c>
      <c r="D694" s="16" t="s">
        <v>88</v>
      </c>
      <c r="E694" s="74">
        <v>210122900</v>
      </c>
      <c r="F694" s="82" t="s">
        <v>211</v>
      </c>
      <c r="G694" s="98" t="s">
        <v>212</v>
      </c>
      <c r="H694" s="39">
        <f>6543.9-13.4-1+612.5+1</f>
        <v>7143</v>
      </c>
      <c r="I694" s="39">
        <v>6543.9</v>
      </c>
      <c r="J694" s="39">
        <v>6543.9</v>
      </c>
    </row>
    <row r="695" spans="1:13" ht="38.25" x14ac:dyDescent="0.2">
      <c r="A695" s="1"/>
      <c r="B695" s="25"/>
      <c r="C695" s="16" t="s">
        <v>101</v>
      </c>
      <c r="D695" s="16" t="s">
        <v>88</v>
      </c>
      <c r="E695" s="74">
        <v>210122900</v>
      </c>
      <c r="F695" s="82" t="s">
        <v>260</v>
      </c>
      <c r="G695" s="98" t="s">
        <v>249</v>
      </c>
      <c r="H695" s="39">
        <v>160.5</v>
      </c>
      <c r="I695" s="39">
        <v>0</v>
      </c>
      <c r="J695" s="39">
        <v>0</v>
      </c>
    </row>
    <row r="696" spans="1:13" ht="51" x14ac:dyDescent="0.2">
      <c r="A696" s="1"/>
      <c r="B696" s="25"/>
      <c r="C696" s="16" t="s">
        <v>101</v>
      </c>
      <c r="D696" s="16" t="s">
        <v>88</v>
      </c>
      <c r="E696" s="74">
        <v>210121100</v>
      </c>
      <c r="F696" s="16"/>
      <c r="G696" s="99" t="s">
        <v>172</v>
      </c>
      <c r="H696" s="39">
        <f>H697</f>
        <v>34927.299999999996</v>
      </c>
      <c r="I696" s="39">
        <f>I697</f>
        <v>31173.600000000002</v>
      </c>
      <c r="J696" s="39">
        <f>J697</f>
        <v>32373.600000000002</v>
      </c>
    </row>
    <row r="697" spans="1:13" x14ac:dyDescent="0.2">
      <c r="A697" s="1"/>
      <c r="B697" s="25"/>
      <c r="C697" s="16" t="s">
        <v>101</v>
      </c>
      <c r="D697" s="16" t="s">
        <v>88</v>
      </c>
      <c r="E697" s="74">
        <v>210121100</v>
      </c>
      <c r="F697" s="21" t="s">
        <v>225</v>
      </c>
      <c r="G697" s="98" t="s">
        <v>224</v>
      </c>
      <c r="H697" s="39">
        <f>34169.2+1174.4-1000-16.3+600</f>
        <v>34927.299999999996</v>
      </c>
      <c r="I697" s="1">
        <f>31189.9-16.3</f>
        <v>31173.600000000002</v>
      </c>
      <c r="J697" s="1">
        <f>32389.9-16.3</f>
        <v>32373.600000000002</v>
      </c>
    </row>
    <row r="698" spans="1:13" ht="51" x14ac:dyDescent="0.2">
      <c r="A698" s="1"/>
      <c r="B698" s="25"/>
      <c r="C698" s="16" t="s">
        <v>101</v>
      </c>
      <c r="D698" s="16" t="s">
        <v>88</v>
      </c>
      <c r="E698" s="74" t="s">
        <v>438</v>
      </c>
      <c r="F698" s="82"/>
      <c r="G698" s="98" t="s">
        <v>313</v>
      </c>
      <c r="H698" s="39">
        <f>SUM(H699:H700)</f>
        <v>357</v>
      </c>
      <c r="I698" s="39">
        <f>SUM(I699:I700)</f>
        <v>357</v>
      </c>
      <c r="J698" s="39">
        <f>SUM(J699:J700)</f>
        <v>357</v>
      </c>
      <c r="M698" s="103"/>
    </row>
    <row r="699" spans="1:13" ht="25.5" x14ac:dyDescent="0.2">
      <c r="A699" s="1"/>
      <c r="B699" s="25"/>
      <c r="C699" s="16" t="s">
        <v>101</v>
      </c>
      <c r="D699" s="16" t="s">
        <v>88</v>
      </c>
      <c r="E699" s="74" t="s">
        <v>438</v>
      </c>
      <c r="F699" s="82" t="s">
        <v>64</v>
      </c>
      <c r="G699" s="55" t="s">
        <v>130</v>
      </c>
      <c r="H699" s="39">
        <f>95+13.7</f>
        <v>108.7</v>
      </c>
      <c r="I699" s="39">
        <f t="shared" ref="I699:J699" si="258">95+13.7</f>
        <v>108.7</v>
      </c>
      <c r="J699" s="39">
        <f t="shared" si="258"/>
        <v>108.7</v>
      </c>
    </row>
    <row r="700" spans="1:13" x14ac:dyDescent="0.2">
      <c r="A700" s="1"/>
      <c r="B700" s="25"/>
      <c r="C700" s="16" t="s">
        <v>101</v>
      </c>
      <c r="D700" s="16" t="s">
        <v>88</v>
      </c>
      <c r="E700" s="74" t="s">
        <v>438</v>
      </c>
      <c r="F700" s="21" t="s">
        <v>225</v>
      </c>
      <c r="G700" s="98" t="s">
        <v>224</v>
      </c>
      <c r="H700" s="39">
        <f>232+16.3</f>
        <v>248.3</v>
      </c>
      <c r="I700" s="39">
        <f t="shared" ref="I700:J700" si="259">232+16.3</f>
        <v>248.3</v>
      </c>
      <c r="J700" s="39">
        <f t="shared" si="259"/>
        <v>248.3</v>
      </c>
    </row>
    <row r="701" spans="1:13" ht="51" x14ac:dyDescent="0.2">
      <c r="A701" s="1"/>
      <c r="B701" s="25"/>
      <c r="C701" s="16" t="s">
        <v>101</v>
      </c>
      <c r="D701" s="16" t="s">
        <v>88</v>
      </c>
      <c r="E701" s="74">
        <v>210110680</v>
      </c>
      <c r="F701" s="82"/>
      <c r="G701" s="98" t="s">
        <v>351</v>
      </c>
      <c r="H701" s="39">
        <f>SUM(H702:H703)</f>
        <v>35336.5</v>
      </c>
      <c r="I701" s="39">
        <f t="shared" ref="I701:J701" si="260">SUM(I702:I703)</f>
        <v>35336.5</v>
      </c>
      <c r="J701" s="39">
        <f t="shared" si="260"/>
        <v>35336.5</v>
      </c>
    </row>
    <row r="702" spans="1:13" ht="25.5" x14ac:dyDescent="0.2">
      <c r="A702" s="1"/>
      <c r="B702" s="25"/>
      <c r="C702" s="16" t="s">
        <v>101</v>
      </c>
      <c r="D702" s="16" t="s">
        <v>88</v>
      </c>
      <c r="E702" s="74">
        <v>210110680</v>
      </c>
      <c r="F702" s="82" t="s">
        <v>64</v>
      </c>
      <c r="G702" s="55" t="s">
        <v>130</v>
      </c>
      <c r="H702" s="39">
        <f>9388.4+1377.5</f>
        <v>10765.9</v>
      </c>
      <c r="I702" s="39">
        <f t="shared" ref="I702:J702" si="261">9388.4+1377.5</f>
        <v>10765.9</v>
      </c>
      <c r="J702" s="39">
        <f t="shared" si="261"/>
        <v>10765.9</v>
      </c>
    </row>
    <row r="703" spans="1:13" x14ac:dyDescent="0.2">
      <c r="A703" s="1"/>
      <c r="B703" s="25"/>
      <c r="C703" s="16" t="s">
        <v>101</v>
      </c>
      <c r="D703" s="16" t="s">
        <v>88</v>
      </c>
      <c r="E703" s="74">
        <v>210110680</v>
      </c>
      <c r="F703" s="21" t="s">
        <v>225</v>
      </c>
      <c r="G703" s="98" t="s">
        <v>224</v>
      </c>
      <c r="H703" s="39">
        <f>22918.8+1651.8</f>
        <v>24570.6</v>
      </c>
      <c r="I703" s="39">
        <f t="shared" ref="I703:J703" si="262">22918.8+1651.8</f>
        <v>24570.6</v>
      </c>
      <c r="J703" s="39">
        <f t="shared" si="262"/>
        <v>24570.6</v>
      </c>
    </row>
    <row r="704" spans="1:13" ht="79.5" customHeight="1" x14ac:dyDescent="0.2">
      <c r="A704" s="1"/>
      <c r="B704" s="25"/>
      <c r="C704" s="16" t="s">
        <v>101</v>
      </c>
      <c r="D704" s="16" t="s">
        <v>88</v>
      </c>
      <c r="E704" s="74" t="s">
        <v>746</v>
      </c>
      <c r="F704" s="21"/>
      <c r="G704" s="172" t="s">
        <v>747</v>
      </c>
      <c r="H704" s="39">
        <f>H705</f>
        <v>113.4</v>
      </c>
      <c r="I704" s="39">
        <v>0</v>
      </c>
      <c r="J704" s="39">
        <v>0</v>
      </c>
    </row>
    <row r="705" spans="1:10" ht="38.25" x14ac:dyDescent="0.2">
      <c r="A705" s="1"/>
      <c r="B705" s="25"/>
      <c r="C705" s="16" t="s">
        <v>101</v>
      </c>
      <c r="D705" s="16" t="s">
        <v>88</v>
      </c>
      <c r="E705" s="74" t="s">
        <v>746</v>
      </c>
      <c r="F705" s="21" t="s">
        <v>211</v>
      </c>
      <c r="G705" s="98" t="s">
        <v>212</v>
      </c>
      <c r="H705" s="39">
        <f>13.4+100</f>
        <v>113.4</v>
      </c>
      <c r="I705" s="39">
        <v>0</v>
      </c>
      <c r="J705" s="39">
        <v>0</v>
      </c>
    </row>
    <row r="706" spans="1:10" ht="51" x14ac:dyDescent="0.2">
      <c r="A706" s="1"/>
      <c r="B706" s="25"/>
      <c r="C706" s="16" t="s">
        <v>101</v>
      </c>
      <c r="D706" s="16" t="s">
        <v>88</v>
      </c>
      <c r="E706" s="21" t="s">
        <v>254</v>
      </c>
      <c r="F706" s="35"/>
      <c r="G706" s="98" t="s">
        <v>253</v>
      </c>
      <c r="H706" s="41">
        <f>H707+H709+H711</f>
        <v>5573.9</v>
      </c>
      <c r="I706" s="41">
        <f t="shared" ref="I706:J706" si="263">I707+I709+I711</f>
        <v>35</v>
      </c>
      <c r="J706" s="41">
        <f t="shared" si="263"/>
        <v>35</v>
      </c>
    </row>
    <row r="707" spans="1:10" ht="51" x14ac:dyDescent="0.2">
      <c r="A707" s="1"/>
      <c r="B707" s="25"/>
      <c r="C707" s="16" t="s">
        <v>101</v>
      </c>
      <c r="D707" s="16" t="s">
        <v>88</v>
      </c>
      <c r="E707" s="125" t="s">
        <v>441</v>
      </c>
      <c r="F707" s="82"/>
      <c r="G707" s="130" t="s">
        <v>366</v>
      </c>
      <c r="H707" s="39">
        <f>H708</f>
        <v>192.1</v>
      </c>
      <c r="I707" s="39">
        <f>I708</f>
        <v>35</v>
      </c>
      <c r="J707" s="39">
        <f>J708</f>
        <v>35</v>
      </c>
    </row>
    <row r="708" spans="1:10" x14ac:dyDescent="0.2">
      <c r="A708" s="1"/>
      <c r="B708" s="25"/>
      <c r="C708" s="16" t="s">
        <v>101</v>
      </c>
      <c r="D708" s="16" t="s">
        <v>88</v>
      </c>
      <c r="E708" s="125" t="s">
        <v>441</v>
      </c>
      <c r="F708" s="21" t="s">
        <v>225</v>
      </c>
      <c r="G708" s="98" t="s">
        <v>224</v>
      </c>
      <c r="H708" s="39">
        <f>4+188.1</f>
        <v>192.1</v>
      </c>
      <c r="I708" s="39">
        <v>35</v>
      </c>
      <c r="J708" s="39">
        <v>35</v>
      </c>
    </row>
    <row r="709" spans="1:10" ht="42.75" customHeight="1" x14ac:dyDescent="0.2">
      <c r="A709" s="1"/>
      <c r="B709" s="25"/>
      <c r="C709" s="16" t="s">
        <v>101</v>
      </c>
      <c r="D709" s="16" t="s">
        <v>88</v>
      </c>
      <c r="E709" s="133" t="s">
        <v>723</v>
      </c>
      <c r="F709" s="21"/>
      <c r="G709" s="98" t="s">
        <v>724</v>
      </c>
      <c r="H709" s="39">
        <f>H710</f>
        <v>5181.7999999999993</v>
      </c>
      <c r="I709" s="39">
        <f>I710</f>
        <v>0</v>
      </c>
      <c r="J709" s="39">
        <f>J710</f>
        <v>0</v>
      </c>
    </row>
    <row r="710" spans="1:10" x14ac:dyDescent="0.2">
      <c r="A710" s="1"/>
      <c r="B710" s="25"/>
      <c r="C710" s="16" t="s">
        <v>101</v>
      </c>
      <c r="D710" s="16" t="s">
        <v>88</v>
      </c>
      <c r="E710" s="133" t="s">
        <v>723</v>
      </c>
      <c r="F710" s="21" t="s">
        <v>225</v>
      </c>
      <c r="G710" s="98" t="s">
        <v>224</v>
      </c>
      <c r="H710" s="39">
        <f>192+2060.1+2929.7</f>
        <v>5181.7999999999993</v>
      </c>
      <c r="I710" s="39">
        <v>0</v>
      </c>
      <c r="J710" s="39">
        <v>0</v>
      </c>
    </row>
    <row r="711" spans="1:10" ht="38.25" x14ac:dyDescent="0.2">
      <c r="A711" s="1"/>
      <c r="B711" s="25"/>
      <c r="C711" s="16" t="s">
        <v>101</v>
      </c>
      <c r="D711" s="16" t="s">
        <v>88</v>
      </c>
      <c r="E711" s="162" t="s">
        <v>759</v>
      </c>
      <c r="F711" s="82"/>
      <c r="G711" s="124" t="s">
        <v>756</v>
      </c>
      <c r="H711" s="39">
        <f>H712</f>
        <v>200</v>
      </c>
      <c r="I711" s="39">
        <f t="shared" ref="I711:J711" si="264">I712</f>
        <v>0</v>
      </c>
      <c r="J711" s="39">
        <f t="shared" si="264"/>
        <v>0</v>
      </c>
    </row>
    <row r="712" spans="1:10" x14ac:dyDescent="0.2">
      <c r="A712" s="1"/>
      <c r="B712" s="25"/>
      <c r="C712" s="16" t="s">
        <v>101</v>
      </c>
      <c r="D712" s="16" t="s">
        <v>88</v>
      </c>
      <c r="E712" s="162" t="s">
        <v>759</v>
      </c>
      <c r="F712" s="21" t="s">
        <v>225</v>
      </c>
      <c r="G712" s="98" t="s">
        <v>224</v>
      </c>
      <c r="H712" s="39">
        <v>200</v>
      </c>
      <c r="I712" s="39">
        <v>0</v>
      </c>
      <c r="J712" s="39">
        <v>0</v>
      </c>
    </row>
    <row r="713" spans="1:10" ht="38.25" x14ac:dyDescent="0.2">
      <c r="A713" s="1"/>
      <c r="B713" s="25"/>
      <c r="C713" s="16" t="s">
        <v>101</v>
      </c>
      <c r="D713" s="16" t="s">
        <v>88</v>
      </c>
      <c r="E713" s="133" t="s">
        <v>669</v>
      </c>
      <c r="F713" s="21"/>
      <c r="G713" s="98" t="s">
        <v>670</v>
      </c>
      <c r="H713" s="39">
        <f>H714</f>
        <v>12509.300000000001</v>
      </c>
      <c r="I713" s="39">
        <f t="shared" ref="I713:J713" si="265">I714</f>
        <v>0</v>
      </c>
      <c r="J713" s="39">
        <f t="shared" si="265"/>
        <v>0</v>
      </c>
    </row>
    <row r="714" spans="1:10" ht="25.5" x14ac:dyDescent="0.2">
      <c r="A714" s="1"/>
      <c r="B714" s="25"/>
      <c r="C714" s="16" t="s">
        <v>101</v>
      </c>
      <c r="D714" s="16" t="s">
        <v>88</v>
      </c>
      <c r="E714" s="125" t="s">
        <v>671</v>
      </c>
      <c r="F714" s="21"/>
      <c r="G714" s="124" t="s">
        <v>672</v>
      </c>
      <c r="H714" s="39">
        <f>H715</f>
        <v>12509.300000000001</v>
      </c>
      <c r="I714" s="39">
        <f t="shared" ref="I714:J714" si="266">I715</f>
        <v>0</v>
      </c>
      <c r="J714" s="39">
        <f t="shared" si="266"/>
        <v>0</v>
      </c>
    </row>
    <row r="715" spans="1:10" x14ac:dyDescent="0.2">
      <c r="A715" s="1"/>
      <c r="B715" s="25"/>
      <c r="C715" s="16" t="s">
        <v>101</v>
      </c>
      <c r="D715" s="16" t="s">
        <v>88</v>
      </c>
      <c r="E715" s="125" t="s">
        <v>671</v>
      </c>
      <c r="F715" s="21" t="s">
        <v>225</v>
      </c>
      <c r="G715" s="98" t="s">
        <v>224</v>
      </c>
      <c r="H715" s="39">
        <f>125.1+12384.2</f>
        <v>12509.300000000001</v>
      </c>
      <c r="I715" s="39">
        <v>0</v>
      </c>
      <c r="J715" s="39">
        <v>0</v>
      </c>
    </row>
    <row r="716" spans="1:10" ht="38.25" x14ac:dyDescent="0.2">
      <c r="A716" s="1"/>
      <c r="B716" s="25"/>
      <c r="C716" s="16" t="s">
        <v>101</v>
      </c>
      <c r="D716" s="16" t="s">
        <v>88</v>
      </c>
      <c r="E716" s="133" t="s">
        <v>442</v>
      </c>
      <c r="F716" s="21"/>
      <c r="G716" s="98" t="s">
        <v>443</v>
      </c>
      <c r="H716" s="39">
        <f>H717</f>
        <v>0</v>
      </c>
      <c r="I716" s="39">
        <f t="shared" ref="I716:J716" si="267">I717</f>
        <v>1</v>
      </c>
      <c r="J716" s="39">
        <f t="shared" si="267"/>
        <v>1</v>
      </c>
    </row>
    <row r="717" spans="1:10" ht="63.75" x14ac:dyDescent="0.2">
      <c r="A717" s="1"/>
      <c r="B717" s="25"/>
      <c r="C717" s="16" t="s">
        <v>101</v>
      </c>
      <c r="D717" s="16" t="s">
        <v>88</v>
      </c>
      <c r="E717" s="133" t="s">
        <v>445</v>
      </c>
      <c r="F717" s="21"/>
      <c r="G717" s="98" t="s">
        <v>444</v>
      </c>
      <c r="H717" s="39">
        <f>H718</f>
        <v>0</v>
      </c>
      <c r="I717" s="39">
        <f>I718</f>
        <v>1</v>
      </c>
      <c r="J717" s="39">
        <f>J718</f>
        <v>1</v>
      </c>
    </row>
    <row r="718" spans="1:10" x14ac:dyDescent="0.2">
      <c r="A718" s="1"/>
      <c r="B718" s="25"/>
      <c r="C718" s="16" t="s">
        <v>101</v>
      </c>
      <c r="D718" s="16" t="s">
        <v>88</v>
      </c>
      <c r="E718" s="133" t="s">
        <v>445</v>
      </c>
      <c r="F718" s="21" t="s">
        <v>225</v>
      </c>
      <c r="G718" s="98" t="s">
        <v>224</v>
      </c>
      <c r="H718" s="39">
        <f>1-1</f>
        <v>0</v>
      </c>
      <c r="I718" s="39">
        <v>1</v>
      </c>
      <c r="J718" s="39">
        <v>1</v>
      </c>
    </row>
    <row r="719" spans="1:10" ht="38.25" x14ac:dyDescent="0.2">
      <c r="A719" s="1"/>
      <c r="B719" s="25"/>
      <c r="C719" s="16" t="s">
        <v>101</v>
      </c>
      <c r="D719" s="16" t="s">
        <v>88</v>
      </c>
      <c r="E719" s="82" t="s">
        <v>24</v>
      </c>
      <c r="F719" s="82"/>
      <c r="G719" s="99" t="s">
        <v>38</v>
      </c>
      <c r="H719" s="41">
        <f>H720+H722</f>
        <v>230</v>
      </c>
      <c r="I719" s="41">
        <f t="shared" ref="I719:J719" si="268">I720</f>
        <v>0</v>
      </c>
      <c r="J719" s="41">
        <f t="shared" si="268"/>
        <v>0</v>
      </c>
    </row>
    <row r="720" spans="1:10" ht="51" x14ac:dyDescent="0.2">
      <c r="A720" s="1"/>
      <c r="B720" s="25"/>
      <c r="C720" s="16" t="s">
        <v>101</v>
      </c>
      <c r="D720" s="16" t="s">
        <v>88</v>
      </c>
      <c r="E720" s="82" t="s">
        <v>568</v>
      </c>
      <c r="F720" s="16"/>
      <c r="G720" s="54" t="s">
        <v>570</v>
      </c>
      <c r="H720" s="41">
        <f>SUM(H721:H721)</f>
        <v>50</v>
      </c>
      <c r="I720" s="41">
        <f>SUM(I721:I721)</f>
        <v>0</v>
      </c>
      <c r="J720" s="41">
        <f>SUM(J721:J721)</f>
        <v>0</v>
      </c>
    </row>
    <row r="721" spans="1:10" x14ac:dyDescent="0.2">
      <c r="A721" s="1"/>
      <c r="B721" s="25"/>
      <c r="C721" s="16" t="s">
        <v>101</v>
      </c>
      <c r="D721" s="16" t="s">
        <v>88</v>
      </c>
      <c r="E721" s="82" t="s">
        <v>568</v>
      </c>
      <c r="F721" s="21" t="s">
        <v>225</v>
      </c>
      <c r="G721" s="98" t="s">
        <v>224</v>
      </c>
      <c r="H721" s="39">
        <v>50</v>
      </c>
      <c r="I721" s="39">
        <v>0</v>
      </c>
      <c r="J721" s="39">
        <v>0</v>
      </c>
    </row>
    <row r="722" spans="1:10" ht="51" x14ac:dyDescent="0.2">
      <c r="A722" s="1"/>
      <c r="B722" s="25"/>
      <c r="C722" s="16" t="s">
        <v>101</v>
      </c>
      <c r="D722" s="16" t="s">
        <v>88</v>
      </c>
      <c r="E722" s="82" t="s">
        <v>567</v>
      </c>
      <c r="F722" s="21"/>
      <c r="G722" s="54" t="s">
        <v>566</v>
      </c>
      <c r="H722" s="39">
        <f>H723</f>
        <v>180</v>
      </c>
      <c r="I722" s="39">
        <f t="shared" ref="I722:J722" si="269">I723</f>
        <v>0</v>
      </c>
      <c r="J722" s="39">
        <f t="shared" si="269"/>
        <v>0</v>
      </c>
    </row>
    <row r="723" spans="1:10" ht="38.25" x14ac:dyDescent="0.2">
      <c r="A723" s="1"/>
      <c r="B723" s="25"/>
      <c r="C723" s="16" t="s">
        <v>101</v>
      </c>
      <c r="D723" s="16" t="s">
        <v>88</v>
      </c>
      <c r="E723" s="82" t="s">
        <v>567</v>
      </c>
      <c r="F723" s="82" t="s">
        <v>211</v>
      </c>
      <c r="G723" s="98" t="s">
        <v>212</v>
      </c>
      <c r="H723" s="39">
        <v>180</v>
      </c>
      <c r="I723" s="39">
        <v>0</v>
      </c>
      <c r="J723" s="39">
        <v>0</v>
      </c>
    </row>
    <row r="724" spans="1:10" s="37" customFormat="1" ht="25.5" x14ac:dyDescent="0.2">
      <c r="A724" s="27"/>
      <c r="B724" s="70"/>
      <c r="C724" s="35" t="s">
        <v>101</v>
      </c>
      <c r="D724" s="35" t="s">
        <v>94</v>
      </c>
      <c r="E724" s="35"/>
      <c r="F724" s="35"/>
      <c r="G724" s="46" t="s">
        <v>7</v>
      </c>
      <c r="H724" s="42">
        <f>H725</f>
        <v>4238.6000000000004</v>
      </c>
      <c r="I724" s="42">
        <f t="shared" ref="I724:J724" si="270">I725</f>
        <v>4028.5</v>
      </c>
      <c r="J724" s="42">
        <f t="shared" si="270"/>
        <v>4028.5</v>
      </c>
    </row>
    <row r="725" spans="1:10" s="37" customFormat="1" ht="90" x14ac:dyDescent="0.25">
      <c r="A725" s="27"/>
      <c r="B725" s="70"/>
      <c r="C725" s="5" t="s">
        <v>101</v>
      </c>
      <c r="D725" s="5" t="s">
        <v>94</v>
      </c>
      <c r="E725" s="73" t="s">
        <v>59</v>
      </c>
      <c r="F725" s="35"/>
      <c r="G725" s="53" t="s">
        <v>572</v>
      </c>
      <c r="H725" s="65">
        <f>H726+H732</f>
        <v>4238.6000000000004</v>
      </c>
      <c r="I725" s="65">
        <f>I726+I732</f>
        <v>4028.5</v>
      </c>
      <c r="J725" s="65">
        <f>J726+J732</f>
        <v>4028.5</v>
      </c>
    </row>
    <row r="726" spans="1:10" s="37" customFormat="1" ht="25.5" x14ac:dyDescent="0.2">
      <c r="A726" s="27"/>
      <c r="B726" s="70"/>
      <c r="C726" s="16" t="s">
        <v>101</v>
      </c>
      <c r="D726" s="16" t="s">
        <v>94</v>
      </c>
      <c r="E726" s="21" t="s">
        <v>60</v>
      </c>
      <c r="F726" s="35"/>
      <c r="G726" s="48" t="s">
        <v>171</v>
      </c>
      <c r="H726" s="42">
        <f t="shared" ref="H726:J728" si="271">H727</f>
        <v>674</v>
      </c>
      <c r="I726" s="42">
        <f t="shared" si="271"/>
        <v>574</v>
      </c>
      <c r="J726" s="42">
        <f t="shared" si="271"/>
        <v>574</v>
      </c>
    </row>
    <row r="727" spans="1:10" s="37" customFormat="1" ht="38.25" x14ac:dyDescent="0.2">
      <c r="A727" s="27"/>
      <c r="B727" s="70"/>
      <c r="C727" s="16" t="s">
        <v>101</v>
      </c>
      <c r="D727" s="16" t="s">
        <v>94</v>
      </c>
      <c r="E727" s="21" t="s">
        <v>446</v>
      </c>
      <c r="F727" s="35"/>
      <c r="G727" s="101" t="s">
        <v>255</v>
      </c>
      <c r="H727" s="41">
        <f>H728+H730</f>
        <v>674</v>
      </c>
      <c r="I727" s="41">
        <f t="shared" ref="I727:J727" si="272">I728+I730</f>
        <v>574</v>
      </c>
      <c r="J727" s="41">
        <f t="shared" si="272"/>
        <v>574</v>
      </c>
    </row>
    <row r="728" spans="1:10" s="37" customFormat="1" ht="51" x14ac:dyDescent="0.2">
      <c r="A728" s="27"/>
      <c r="B728" s="70"/>
      <c r="C728" s="16" t="s">
        <v>101</v>
      </c>
      <c r="D728" s="16" t="s">
        <v>94</v>
      </c>
      <c r="E728" s="21" t="s">
        <v>447</v>
      </c>
      <c r="F728" s="16"/>
      <c r="G728" s="98" t="s">
        <v>174</v>
      </c>
      <c r="H728" s="41">
        <f t="shared" si="271"/>
        <v>574</v>
      </c>
      <c r="I728" s="41">
        <f t="shared" si="271"/>
        <v>574</v>
      </c>
      <c r="J728" s="41">
        <f t="shared" si="271"/>
        <v>574</v>
      </c>
    </row>
    <row r="729" spans="1:10" s="37" customFormat="1" ht="38.25" x14ac:dyDescent="0.2">
      <c r="A729" s="27"/>
      <c r="B729" s="70"/>
      <c r="C729" s="16" t="s">
        <v>101</v>
      </c>
      <c r="D729" s="16" t="s">
        <v>94</v>
      </c>
      <c r="E729" s="21" t="s">
        <v>447</v>
      </c>
      <c r="F729" s="82" t="s">
        <v>211</v>
      </c>
      <c r="G729" s="98" t="s">
        <v>212</v>
      </c>
      <c r="H729" s="41">
        <v>574</v>
      </c>
      <c r="I729" s="41">
        <v>574</v>
      </c>
      <c r="J729" s="41">
        <v>574</v>
      </c>
    </row>
    <row r="730" spans="1:10" s="37" customFormat="1" ht="25.5" x14ac:dyDescent="0.2">
      <c r="A730" s="27"/>
      <c r="B730" s="70"/>
      <c r="C730" s="16" t="s">
        <v>101</v>
      </c>
      <c r="D730" s="16" t="s">
        <v>94</v>
      </c>
      <c r="E730" s="21" t="s">
        <v>757</v>
      </c>
      <c r="F730" s="82"/>
      <c r="G730" s="108" t="s">
        <v>758</v>
      </c>
      <c r="H730" s="41">
        <f>H731</f>
        <v>100</v>
      </c>
      <c r="I730" s="41">
        <f t="shared" ref="I730:J730" si="273">I731</f>
        <v>0</v>
      </c>
      <c r="J730" s="41">
        <f t="shared" si="273"/>
        <v>0</v>
      </c>
    </row>
    <row r="731" spans="1:10" s="37" customFormat="1" ht="38.25" x14ac:dyDescent="0.2">
      <c r="A731" s="27"/>
      <c r="B731" s="70"/>
      <c r="C731" s="16" t="s">
        <v>101</v>
      </c>
      <c r="D731" s="16" t="s">
        <v>94</v>
      </c>
      <c r="E731" s="175" t="s">
        <v>757</v>
      </c>
      <c r="F731" s="82" t="s">
        <v>211</v>
      </c>
      <c r="G731" s="98" t="s">
        <v>212</v>
      </c>
      <c r="H731" s="41">
        <v>100</v>
      </c>
      <c r="I731" s="41">
        <v>0</v>
      </c>
      <c r="J731" s="41">
        <v>0</v>
      </c>
    </row>
    <row r="732" spans="1:10" s="37" customFormat="1" ht="14.25" x14ac:dyDescent="0.2">
      <c r="A732" s="27"/>
      <c r="B732" s="70"/>
      <c r="C732" s="16" t="s">
        <v>101</v>
      </c>
      <c r="D732" s="16" t="s">
        <v>94</v>
      </c>
      <c r="E732" s="52" t="s">
        <v>31</v>
      </c>
      <c r="F732" s="21"/>
      <c r="G732" s="66" t="s">
        <v>46</v>
      </c>
      <c r="H732" s="58">
        <f>H733</f>
        <v>3564.6</v>
      </c>
      <c r="I732" s="58">
        <f>I733</f>
        <v>3454.5</v>
      </c>
      <c r="J732" s="58">
        <f>J733</f>
        <v>3454.5</v>
      </c>
    </row>
    <row r="733" spans="1:10" s="37" customFormat="1" ht="63.75" x14ac:dyDescent="0.2">
      <c r="A733" s="27"/>
      <c r="B733" s="70"/>
      <c r="C733" s="16" t="s">
        <v>101</v>
      </c>
      <c r="D733" s="16" t="s">
        <v>94</v>
      </c>
      <c r="E733" s="80">
        <v>290022200</v>
      </c>
      <c r="F733" s="21"/>
      <c r="G733" s="98" t="s">
        <v>261</v>
      </c>
      <c r="H733" s="94">
        <f>SUM(H734:H736)</f>
        <v>3564.6</v>
      </c>
      <c r="I733" s="94">
        <f>SUM(I734:I735)</f>
        <v>3454.5</v>
      </c>
      <c r="J733" s="94">
        <f>SUM(J734:J735)</f>
        <v>3454.5</v>
      </c>
    </row>
    <row r="734" spans="1:10" s="37" customFormat="1" ht="38.25" x14ac:dyDescent="0.2">
      <c r="A734" s="27"/>
      <c r="B734" s="70"/>
      <c r="C734" s="16" t="s">
        <v>101</v>
      </c>
      <c r="D734" s="16" t="s">
        <v>94</v>
      </c>
      <c r="E734" s="80">
        <v>290022200</v>
      </c>
      <c r="F734" s="16" t="s">
        <v>62</v>
      </c>
      <c r="G734" s="55" t="s">
        <v>63</v>
      </c>
      <c r="H734" s="94">
        <f>3380.7+110.1-55</f>
        <v>3435.7999999999997</v>
      </c>
      <c r="I734" s="94">
        <v>3380.7</v>
      </c>
      <c r="J734" s="94">
        <v>3380.7</v>
      </c>
    </row>
    <row r="735" spans="1:10" s="37" customFormat="1" ht="38.25" x14ac:dyDescent="0.2">
      <c r="A735" s="27"/>
      <c r="B735" s="70"/>
      <c r="C735" s="16" t="s">
        <v>101</v>
      </c>
      <c r="D735" s="16" t="s">
        <v>94</v>
      </c>
      <c r="E735" s="80">
        <v>290022200</v>
      </c>
      <c r="F735" s="82" t="s">
        <v>211</v>
      </c>
      <c r="G735" s="98" t="s">
        <v>212</v>
      </c>
      <c r="H735" s="41">
        <v>73.8</v>
      </c>
      <c r="I735" s="41">
        <v>73.8</v>
      </c>
      <c r="J735" s="41">
        <v>73.8</v>
      </c>
    </row>
    <row r="736" spans="1:10" s="37" customFormat="1" ht="38.25" x14ac:dyDescent="0.2">
      <c r="A736" s="27"/>
      <c r="B736" s="70"/>
      <c r="C736" s="16" t="s">
        <v>101</v>
      </c>
      <c r="D736" s="16" t="s">
        <v>94</v>
      </c>
      <c r="E736" s="80">
        <v>290022200</v>
      </c>
      <c r="F736" s="82" t="s">
        <v>260</v>
      </c>
      <c r="G736" s="98" t="s">
        <v>249</v>
      </c>
      <c r="H736" s="41">
        <v>55</v>
      </c>
      <c r="I736" s="41">
        <v>0</v>
      </c>
      <c r="J736" s="41">
        <v>0</v>
      </c>
    </row>
    <row r="737" spans="1:10" ht="15.75" x14ac:dyDescent="0.25">
      <c r="A737" s="1"/>
      <c r="B737" s="25"/>
      <c r="C737" s="4" t="s">
        <v>102</v>
      </c>
      <c r="D737" s="3"/>
      <c r="E737" s="3"/>
      <c r="F737" s="3"/>
      <c r="G737" s="49" t="s">
        <v>123</v>
      </c>
      <c r="H737" s="92">
        <f t="shared" ref="H737:J740" si="274">H738</f>
        <v>6706.1</v>
      </c>
      <c r="I737" s="92">
        <f t="shared" si="274"/>
        <v>706.1</v>
      </c>
      <c r="J737" s="92">
        <f t="shared" si="274"/>
        <v>706.1</v>
      </c>
    </row>
    <row r="738" spans="1:10" ht="14.25" x14ac:dyDescent="0.2">
      <c r="A738" s="1"/>
      <c r="B738" s="25"/>
      <c r="C738" s="35" t="s">
        <v>102</v>
      </c>
      <c r="D738" s="35" t="s">
        <v>89</v>
      </c>
      <c r="E738" s="35"/>
      <c r="F738" s="35"/>
      <c r="G738" s="46" t="s">
        <v>6</v>
      </c>
      <c r="H738" s="42">
        <f t="shared" si="274"/>
        <v>6706.1</v>
      </c>
      <c r="I738" s="42">
        <f t="shared" si="274"/>
        <v>706.1</v>
      </c>
      <c r="J738" s="42">
        <f t="shared" si="274"/>
        <v>706.1</v>
      </c>
    </row>
    <row r="739" spans="1:10" ht="89.25" x14ac:dyDescent="0.2">
      <c r="A739" s="1"/>
      <c r="B739" s="25"/>
      <c r="C739" s="16" t="s">
        <v>102</v>
      </c>
      <c r="D739" s="16" t="s">
        <v>89</v>
      </c>
      <c r="E739" s="73" t="s">
        <v>59</v>
      </c>
      <c r="F739" s="35"/>
      <c r="G739" s="53" t="s">
        <v>572</v>
      </c>
      <c r="H739" s="62">
        <f t="shared" si="274"/>
        <v>6706.1</v>
      </c>
      <c r="I739" s="62">
        <f t="shared" si="274"/>
        <v>706.1</v>
      </c>
      <c r="J739" s="62">
        <f t="shared" si="274"/>
        <v>706.1</v>
      </c>
    </row>
    <row r="740" spans="1:10" ht="38.25" x14ac:dyDescent="0.2">
      <c r="A740" s="1"/>
      <c r="B740" s="25"/>
      <c r="C740" s="47" t="s">
        <v>102</v>
      </c>
      <c r="D740" s="47" t="s">
        <v>89</v>
      </c>
      <c r="E740" s="52" t="s">
        <v>43</v>
      </c>
      <c r="F740" s="35"/>
      <c r="G740" s="48" t="s">
        <v>201</v>
      </c>
      <c r="H740" s="58">
        <f>H741</f>
        <v>6706.1</v>
      </c>
      <c r="I740" s="58">
        <f t="shared" si="274"/>
        <v>706.1</v>
      </c>
      <c r="J740" s="58">
        <f t="shared" si="274"/>
        <v>706.1</v>
      </c>
    </row>
    <row r="741" spans="1:10" ht="89.25" customHeight="1" x14ac:dyDescent="0.2">
      <c r="A741" s="1"/>
      <c r="B741" s="25"/>
      <c r="C741" s="16" t="s">
        <v>102</v>
      </c>
      <c r="D741" s="16" t="s">
        <v>89</v>
      </c>
      <c r="E741" s="21" t="s">
        <v>256</v>
      </c>
      <c r="F741" s="35"/>
      <c r="G741" s="99" t="s">
        <v>257</v>
      </c>
      <c r="H741" s="58">
        <f>H742+H745+H748</f>
        <v>6706.1</v>
      </c>
      <c r="I741" s="58">
        <f t="shared" ref="I741:J741" si="275">I742+I745+I748</f>
        <v>706.1</v>
      </c>
      <c r="J741" s="58">
        <f t="shared" si="275"/>
        <v>706.1</v>
      </c>
    </row>
    <row r="742" spans="1:10" ht="89.25" x14ac:dyDescent="0.2">
      <c r="A742" s="1"/>
      <c r="B742" s="25"/>
      <c r="C742" s="16" t="s">
        <v>102</v>
      </c>
      <c r="D742" s="16" t="s">
        <v>89</v>
      </c>
      <c r="E742" s="21" t="s">
        <v>448</v>
      </c>
      <c r="F742" s="21"/>
      <c r="G742" s="99" t="s">
        <v>176</v>
      </c>
      <c r="H742" s="39">
        <f>SUM(H743:H744)</f>
        <v>615.1</v>
      </c>
      <c r="I742" s="39">
        <f>SUM(I744:I744)</f>
        <v>615.1</v>
      </c>
      <c r="J742" s="39">
        <f>SUM(J744:J744)</f>
        <v>615.1</v>
      </c>
    </row>
    <row r="743" spans="1:10" ht="25.5" x14ac:dyDescent="0.2">
      <c r="A743" s="1"/>
      <c r="B743" s="25"/>
      <c r="C743" s="16" t="s">
        <v>102</v>
      </c>
      <c r="D743" s="16" t="s">
        <v>89</v>
      </c>
      <c r="E743" s="21" t="s">
        <v>448</v>
      </c>
      <c r="F743" s="82" t="s">
        <v>64</v>
      </c>
      <c r="G743" s="55" t="s">
        <v>130</v>
      </c>
      <c r="H743" s="39">
        <v>131.30000000000001</v>
      </c>
      <c r="I743" s="39">
        <v>0</v>
      </c>
      <c r="J743" s="39">
        <v>0</v>
      </c>
    </row>
    <row r="744" spans="1:10" ht="38.25" x14ac:dyDescent="0.2">
      <c r="A744" s="1"/>
      <c r="B744" s="25"/>
      <c r="C744" s="16" t="s">
        <v>102</v>
      </c>
      <c r="D744" s="16" t="s">
        <v>89</v>
      </c>
      <c r="E744" s="21" t="s">
        <v>448</v>
      </c>
      <c r="F744" s="82" t="s">
        <v>211</v>
      </c>
      <c r="G744" s="98" t="s">
        <v>212</v>
      </c>
      <c r="H744" s="39">
        <f>615.1-131.3</f>
        <v>483.8</v>
      </c>
      <c r="I744" s="39">
        <v>615.1</v>
      </c>
      <c r="J744" s="39">
        <v>615.1</v>
      </c>
    </row>
    <row r="745" spans="1:10" ht="63.75" x14ac:dyDescent="0.2">
      <c r="A745" s="1"/>
      <c r="B745" s="25"/>
      <c r="C745" s="16" t="s">
        <v>102</v>
      </c>
      <c r="D745" s="16" t="s">
        <v>89</v>
      </c>
      <c r="E745" s="21" t="s">
        <v>449</v>
      </c>
      <c r="F745" s="21"/>
      <c r="G745" s="99" t="s">
        <v>61</v>
      </c>
      <c r="H745" s="39">
        <f>SUM(H746:H747)</f>
        <v>91</v>
      </c>
      <c r="I745" s="39">
        <f>SUM(I746:I747)</f>
        <v>91</v>
      </c>
      <c r="J745" s="39">
        <f>SUM(J746:J747)</f>
        <v>91</v>
      </c>
    </row>
    <row r="746" spans="1:10" ht="25.5" x14ac:dyDescent="0.2">
      <c r="A746" s="1"/>
      <c r="B746" s="25"/>
      <c r="C746" s="16" t="s">
        <v>102</v>
      </c>
      <c r="D746" s="16" t="s">
        <v>89</v>
      </c>
      <c r="E746" s="21" t="s">
        <v>449</v>
      </c>
      <c r="F746" s="82" t="s">
        <v>64</v>
      </c>
      <c r="G746" s="55" t="s">
        <v>130</v>
      </c>
      <c r="H746" s="39">
        <v>46</v>
      </c>
      <c r="I746" s="39">
        <v>46</v>
      </c>
      <c r="J746" s="39">
        <v>46</v>
      </c>
    </row>
    <row r="747" spans="1:10" ht="38.25" x14ac:dyDescent="0.2">
      <c r="A747" s="1"/>
      <c r="B747" s="25"/>
      <c r="C747" s="16" t="s">
        <v>102</v>
      </c>
      <c r="D747" s="16" t="s">
        <v>89</v>
      </c>
      <c r="E747" s="21" t="s">
        <v>449</v>
      </c>
      <c r="F747" s="82" t="s">
        <v>211</v>
      </c>
      <c r="G747" s="98" t="s">
        <v>212</v>
      </c>
      <c r="H747" s="39">
        <v>45</v>
      </c>
      <c r="I747" s="39">
        <v>45</v>
      </c>
      <c r="J747" s="39">
        <v>45</v>
      </c>
    </row>
    <row r="748" spans="1:10" ht="25.5" x14ac:dyDescent="0.2">
      <c r="A748" s="1"/>
      <c r="B748" s="25"/>
      <c r="C748" s="16" t="s">
        <v>102</v>
      </c>
      <c r="D748" s="16" t="s">
        <v>89</v>
      </c>
      <c r="E748" s="21" t="s">
        <v>709</v>
      </c>
      <c r="F748" s="82"/>
      <c r="G748" s="98" t="s">
        <v>710</v>
      </c>
      <c r="H748" s="39">
        <f>H749</f>
        <v>6000</v>
      </c>
      <c r="I748" s="39">
        <f t="shared" ref="I748:J748" si="276">I749</f>
        <v>0</v>
      </c>
      <c r="J748" s="39">
        <f t="shared" si="276"/>
        <v>0</v>
      </c>
    </row>
    <row r="749" spans="1:10" ht="38.25" x14ac:dyDescent="0.2">
      <c r="A749" s="1"/>
      <c r="B749" s="25"/>
      <c r="C749" s="16" t="s">
        <v>102</v>
      </c>
      <c r="D749" s="16" t="s">
        <v>89</v>
      </c>
      <c r="E749" s="21" t="s">
        <v>709</v>
      </c>
      <c r="F749" s="82" t="s">
        <v>211</v>
      </c>
      <c r="G749" s="98" t="s">
        <v>212</v>
      </c>
      <c r="H749" s="39">
        <v>6000</v>
      </c>
      <c r="I749" s="39">
        <v>0</v>
      </c>
      <c r="J749" s="39">
        <v>0</v>
      </c>
    </row>
    <row r="750" spans="1:10" s="8" customFormat="1" ht="74.25" customHeight="1" x14ac:dyDescent="0.25">
      <c r="A750" s="3">
        <v>6</v>
      </c>
      <c r="B750" s="91">
        <v>902</v>
      </c>
      <c r="C750" s="13"/>
      <c r="D750" s="13"/>
      <c r="E750" s="13"/>
      <c r="F750" s="13"/>
      <c r="G750" s="14" t="s">
        <v>197</v>
      </c>
      <c r="H750" s="92">
        <f>H751+H762</f>
        <v>12435.799999999997</v>
      </c>
      <c r="I750" s="92">
        <f>I751+I762</f>
        <v>12232.699999999999</v>
      </c>
      <c r="J750" s="92">
        <f>J751+J762</f>
        <v>12232.699999999999</v>
      </c>
    </row>
    <row r="751" spans="1:10" ht="15.75" x14ac:dyDescent="0.25">
      <c r="A751" s="3"/>
      <c r="B751" s="91"/>
      <c r="C751" s="4" t="s">
        <v>88</v>
      </c>
      <c r="D751" s="11"/>
      <c r="E751" s="11"/>
      <c r="F751" s="11"/>
      <c r="G751" s="15" t="s">
        <v>91</v>
      </c>
      <c r="H751" s="92">
        <f>H752+H758</f>
        <v>12410.799999999997</v>
      </c>
      <c r="I751" s="92">
        <f>I752+I758</f>
        <v>12232.699999999999</v>
      </c>
      <c r="J751" s="92">
        <f>J752+J758</f>
        <v>12232.699999999999</v>
      </c>
    </row>
    <row r="752" spans="1:10" s="37" customFormat="1" ht="52.5" customHeight="1" x14ac:dyDescent="0.2">
      <c r="A752" s="27"/>
      <c r="B752" s="70"/>
      <c r="C752" s="35" t="s">
        <v>88</v>
      </c>
      <c r="D752" s="35" t="s">
        <v>96</v>
      </c>
      <c r="E752" s="35"/>
      <c r="F752" s="35"/>
      <c r="G752" s="46" t="s">
        <v>125</v>
      </c>
      <c r="H752" s="42">
        <f t="shared" ref="H752:J753" si="277">SUM(H753)</f>
        <v>12164.499999999998</v>
      </c>
      <c r="I752" s="42">
        <f t="shared" si="277"/>
        <v>11732.699999999999</v>
      </c>
      <c r="J752" s="42">
        <f t="shared" si="277"/>
        <v>11732.699999999999</v>
      </c>
    </row>
    <row r="753" spans="1:12" ht="25.5" x14ac:dyDescent="0.2">
      <c r="A753" s="1"/>
      <c r="B753" s="25"/>
      <c r="C753" s="16" t="s">
        <v>88</v>
      </c>
      <c r="D753" s="16" t="s">
        <v>96</v>
      </c>
      <c r="E753" s="79">
        <v>9900000000</v>
      </c>
      <c r="F753" s="16"/>
      <c r="G753" s="55" t="s">
        <v>144</v>
      </c>
      <c r="H753" s="39">
        <f t="shared" si="277"/>
        <v>12164.499999999998</v>
      </c>
      <c r="I753" s="39">
        <f t="shared" si="277"/>
        <v>11732.699999999999</v>
      </c>
      <c r="J753" s="39">
        <f t="shared" si="277"/>
        <v>11732.699999999999</v>
      </c>
    </row>
    <row r="754" spans="1:12" ht="38.25" x14ac:dyDescent="0.2">
      <c r="A754" s="1"/>
      <c r="B754" s="25"/>
      <c r="C754" s="16" t="s">
        <v>88</v>
      </c>
      <c r="D754" s="16" t="s">
        <v>96</v>
      </c>
      <c r="E754" s="79">
        <v>9980000000</v>
      </c>
      <c r="F754" s="16"/>
      <c r="G754" s="54" t="s">
        <v>29</v>
      </c>
      <c r="H754" s="39">
        <f t="shared" ref="H754:J754" si="278">H755</f>
        <v>12164.499999999998</v>
      </c>
      <c r="I754" s="39">
        <f t="shared" si="278"/>
        <v>11732.699999999999</v>
      </c>
      <c r="J754" s="39">
        <f t="shared" si="278"/>
        <v>11732.699999999999</v>
      </c>
    </row>
    <row r="755" spans="1:12" x14ac:dyDescent="0.2">
      <c r="A755" s="1"/>
      <c r="B755" s="25"/>
      <c r="C755" s="16" t="s">
        <v>88</v>
      </c>
      <c r="D755" s="16" t="s">
        <v>96</v>
      </c>
      <c r="E755" s="79">
        <v>9980022200</v>
      </c>
      <c r="F755" s="21"/>
      <c r="G755" s="99" t="s">
        <v>115</v>
      </c>
      <c r="H755" s="39">
        <f>SUM(H756:H757)</f>
        <v>12164.499999999998</v>
      </c>
      <c r="I755" s="39">
        <f>SUM(I756:I757)</f>
        <v>11732.699999999999</v>
      </c>
      <c r="J755" s="39">
        <f>SUM(J756:J757)</f>
        <v>11732.699999999999</v>
      </c>
    </row>
    <row r="756" spans="1:12" ht="38.25" x14ac:dyDescent="0.2">
      <c r="A756" s="1"/>
      <c r="B756" s="25"/>
      <c r="C756" s="16" t="s">
        <v>88</v>
      </c>
      <c r="D756" s="16" t="s">
        <v>96</v>
      </c>
      <c r="E756" s="79">
        <v>9980022200</v>
      </c>
      <c r="F756" s="16" t="s">
        <v>62</v>
      </c>
      <c r="G756" s="102" t="s">
        <v>63</v>
      </c>
      <c r="H756" s="39">
        <f>11196.4+431.8</f>
        <v>11628.199999999999</v>
      </c>
      <c r="I756" s="39">
        <v>11196.4</v>
      </c>
      <c r="J756" s="39">
        <v>11196.4</v>
      </c>
    </row>
    <row r="757" spans="1:12" ht="38.25" x14ac:dyDescent="0.2">
      <c r="A757" s="1"/>
      <c r="B757" s="25"/>
      <c r="C757" s="16" t="s">
        <v>88</v>
      </c>
      <c r="D757" s="16" t="s">
        <v>96</v>
      </c>
      <c r="E757" s="79">
        <v>9980022200</v>
      </c>
      <c r="F757" s="82" t="s">
        <v>211</v>
      </c>
      <c r="G757" s="98" t="s">
        <v>212</v>
      </c>
      <c r="H757" s="39">
        <v>536.29999999999995</v>
      </c>
      <c r="I757" s="39">
        <v>536.29999999999995</v>
      </c>
      <c r="J757" s="39">
        <v>536.29999999999995</v>
      </c>
    </row>
    <row r="758" spans="1:12" ht="14.25" x14ac:dyDescent="0.2">
      <c r="A758" s="1"/>
      <c r="B758" s="25"/>
      <c r="C758" s="35" t="s">
        <v>88</v>
      </c>
      <c r="D758" s="35" t="s">
        <v>102</v>
      </c>
      <c r="E758" s="35"/>
      <c r="F758" s="35"/>
      <c r="G758" s="27" t="s">
        <v>5</v>
      </c>
      <c r="H758" s="42">
        <f t="shared" ref="H758:J760" si="279">H759</f>
        <v>246.3</v>
      </c>
      <c r="I758" s="42">
        <f t="shared" si="279"/>
        <v>500</v>
      </c>
      <c r="J758" s="42">
        <f t="shared" si="279"/>
        <v>500</v>
      </c>
    </row>
    <row r="759" spans="1:12" ht="14.25" x14ac:dyDescent="0.2">
      <c r="A759" s="1"/>
      <c r="B759" s="25"/>
      <c r="C759" s="16" t="s">
        <v>88</v>
      </c>
      <c r="D759" s="16" t="s">
        <v>102</v>
      </c>
      <c r="E759" s="79">
        <v>9920000000</v>
      </c>
      <c r="F759" s="35"/>
      <c r="G759" s="126" t="s">
        <v>5</v>
      </c>
      <c r="H759" s="42">
        <f t="shared" si="279"/>
        <v>246.3</v>
      </c>
      <c r="I759" s="42">
        <f t="shared" si="279"/>
        <v>500</v>
      </c>
      <c r="J759" s="42">
        <f t="shared" si="279"/>
        <v>500</v>
      </c>
    </row>
    <row r="760" spans="1:12" ht="25.5" x14ac:dyDescent="0.2">
      <c r="A760" s="1"/>
      <c r="B760" s="25"/>
      <c r="C760" s="16" t="s">
        <v>88</v>
      </c>
      <c r="D760" s="16" t="s">
        <v>102</v>
      </c>
      <c r="E760" s="79">
        <v>9920026100</v>
      </c>
      <c r="F760" s="21"/>
      <c r="G760" s="99" t="s">
        <v>11</v>
      </c>
      <c r="H760" s="39">
        <f t="shared" si="279"/>
        <v>246.3</v>
      </c>
      <c r="I760" s="39">
        <f t="shared" si="279"/>
        <v>500</v>
      </c>
      <c r="J760" s="39">
        <f t="shared" si="279"/>
        <v>500</v>
      </c>
    </row>
    <row r="761" spans="1:12" x14ac:dyDescent="0.2">
      <c r="A761" s="1"/>
      <c r="B761" s="25"/>
      <c r="C761" s="16" t="s">
        <v>88</v>
      </c>
      <c r="D761" s="16" t="s">
        <v>102</v>
      </c>
      <c r="E761" s="79">
        <v>9920026100</v>
      </c>
      <c r="F761" s="16" t="s">
        <v>84</v>
      </c>
      <c r="G761" s="98" t="s">
        <v>85</v>
      </c>
      <c r="H761" s="39">
        <f>500-100-153.7</f>
        <v>246.3</v>
      </c>
      <c r="I761" s="39">
        <v>500</v>
      </c>
      <c r="J761" s="39">
        <v>500</v>
      </c>
    </row>
    <row r="762" spans="1:12" ht="32.25" customHeight="1" x14ac:dyDescent="0.25">
      <c r="B762" s="25"/>
      <c r="C762" s="4" t="s">
        <v>9</v>
      </c>
      <c r="D762" s="5"/>
      <c r="E762" s="146"/>
      <c r="F762" s="146"/>
      <c r="G762" s="49" t="s">
        <v>600</v>
      </c>
      <c r="H762" s="96">
        <f>H763</f>
        <v>25</v>
      </c>
      <c r="I762" s="96">
        <f t="shared" ref="I762:J765" si="280">I763</f>
        <v>0</v>
      </c>
      <c r="J762" s="96">
        <f t="shared" si="280"/>
        <v>0</v>
      </c>
      <c r="L762" s="103"/>
    </row>
    <row r="763" spans="1:12" ht="25.5" x14ac:dyDescent="0.2">
      <c r="B763" s="25"/>
      <c r="C763" s="47" t="s">
        <v>9</v>
      </c>
      <c r="D763" s="47" t="s">
        <v>88</v>
      </c>
      <c r="E763" s="23"/>
      <c r="F763" s="23"/>
      <c r="G763" s="48" t="s">
        <v>601</v>
      </c>
      <c r="H763" s="93">
        <f>H764</f>
        <v>25</v>
      </c>
      <c r="I763" s="93">
        <f t="shared" si="280"/>
        <v>0</v>
      </c>
      <c r="J763" s="93">
        <f t="shared" si="280"/>
        <v>0</v>
      </c>
    </row>
    <row r="764" spans="1:12" ht="38.25" x14ac:dyDescent="0.2">
      <c r="B764" s="25"/>
      <c r="C764" s="82" t="s">
        <v>9</v>
      </c>
      <c r="D764" s="82" t="s">
        <v>88</v>
      </c>
      <c r="E764" s="82" t="s">
        <v>24</v>
      </c>
      <c r="F764" s="82"/>
      <c r="G764" s="99" t="s">
        <v>38</v>
      </c>
      <c r="H764" s="39">
        <f>H765</f>
        <v>25</v>
      </c>
      <c r="I764" s="39">
        <f t="shared" si="280"/>
        <v>0</v>
      </c>
      <c r="J764" s="39">
        <f t="shared" si="280"/>
        <v>0</v>
      </c>
    </row>
    <row r="765" spans="1:12" ht="25.5" x14ac:dyDescent="0.2">
      <c r="B765" s="25"/>
      <c r="C765" s="82" t="s">
        <v>9</v>
      </c>
      <c r="D765" s="82" t="s">
        <v>88</v>
      </c>
      <c r="E765" s="1">
        <v>9940026500</v>
      </c>
      <c r="F765" s="1"/>
      <c r="G765" s="99" t="s">
        <v>602</v>
      </c>
      <c r="H765" s="39">
        <f>H766</f>
        <v>25</v>
      </c>
      <c r="I765" s="39">
        <f t="shared" si="280"/>
        <v>0</v>
      </c>
      <c r="J765" s="39">
        <f t="shared" si="280"/>
        <v>0</v>
      </c>
    </row>
    <row r="766" spans="1:12" x14ac:dyDescent="0.2">
      <c r="B766" s="25"/>
      <c r="C766" s="82" t="s">
        <v>9</v>
      </c>
      <c r="D766" s="82" t="s">
        <v>88</v>
      </c>
      <c r="E766" s="1">
        <v>9940026500</v>
      </c>
      <c r="F766" s="82" t="s">
        <v>603</v>
      </c>
      <c r="G766" s="1" t="s">
        <v>604</v>
      </c>
      <c r="H766" s="39">
        <v>25</v>
      </c>
      <c r="I766" s="39">
        <v>0</v>
      </c>
      <c r="J766"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fitToHeight="0"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M633"/>
  <sheetViews>
    <sheetView tabSelected="1" view="pageBreakPreview" topLeftCell="A606" zoomScale="60" zoomScaleNormal="100" workbookViewId="0">
      <selection activeCell="D7" sqref="D7"/>
    </sheetView>
  </sheetViews>
  <sheetFormatPr defaultColWidth="9.140625" defaultRowHeight="12.75" x14ac:dyDescent="0.2"/>
  <cols>
    <col min="1" max="1" width="11.85546875" customWidth="1"/>
    <col min="2" max="2" width="3.28515625" customWidth="1"/>
    <col min="3" max="3" width="39.7109375" customWidth="1"/>
    <col min="4" max="4" width="11.85546875" customWidth="1"/>
    <col min="5" max="5" width="10.7109375" customWidth="1"/>
    <col min="6" max="6" width="10.42578125" customWidth="1"/>
    <col min="7" max="7" width="9.5703125" bestFit="1" customWidth="1"/>
  </cols>
  <sheetData>
    <row r="1" spans="1:6" x14ac:dyDescent="0.2">
      <c r="C1" s="127" t="s">
        <v>690</v>
      </c>
    </row>
    <row r="2" spans="1:6" x14ac:dyDescent="0.2">
      <c r="C2" s="127" t="s">
        <v>565</v>
      </c>
    </row>
    <row r="3" spans="1:6" x14ac:dyDescent="0.2">
      <c r="C3" s="127" t="s">
        <v>781</v>
      </c>
    </row>
    <row r="4" spans="1:6" x14ac:dyDescent="0.2">
      <c r="C4" s="127" t="s">
        <v>621</v>
      </c>
    </row>
    <row r="5" spans="1:6" x14ac:dyDescent="0.2">
      <c r="C5" s="127" t="s">
        <v>682</v>
      </c>
    </row>
    <row r="6" spans="1:6" x14ac:dyDescent="0.2">
      <c r="C6" s="127" t="s">
        <v>143</v>
      </c>
    </row>
    <row r="7" spans="1:6" x14ac:dyDescent="0.2">
      <c r="C7" s="127" t="s">
        <v>654</v>
      </c>
    </row>
    <row r="8" spans="1:6" x14ac:dyDescent="0.2">
      <c r="C8" s="127"/>
    </row>
    <row r="9" spans="1:6" x14ac:dyDescent="0.2">
      <c r="C9" s="127" t="s">
        <v>690</v>
      </c>
      <c r="D9" s="88"/>
      <c r="E9" s="89"/>
      <c r="F9" s="89"/>
    </row>
    <row r="10" spans="1:6" x14ac:dyDescent="0.2">
      <c r="C10" s="127" t="s">
        <v>370</v>
      </c>
      <c r="D10" s="88"/>
      <c r="E10" s="89"/>
      <c r="F10" s="89"/>
    </row>
    <row r="11" spans="1:6" x14ac:dyDescent="0.2">
      <c r="C11" s="127" t="s">
        <v>685</v>
      </c>
      <c r="D11" s="88"/>
      <c r="E11" s="89"/>
      <c r="F11" s="89"/>
    </row>
    <row r="12" spans="1:6" x14ac:dyDescent="0.2">
      <c r="C12" s="127" t="s">
        <v>143</v>
      </c>
      <c r="D12" s="88"/>
      <c r="E12" s="89"/>
      <c r="F12" s="89"/>
    </row>
    <row r="13" spans="1:6" x14ac:dyDescent="0.2">
      <c r="C13" s="127" t="s">
        <v>654</v>
      </c>
      <c r="D13" s="44"/>
    </row>
    <row r="14" spans="1:6" x14ac:dyDescent="0.2">
      <c r="C14" s="85"/>
      <c r="D14" s="44"/>
    </row>
    <row r="15" spans="1:6" ht="64.5" customHeight="1" x14ac:dyDescent="0.2">
      <c r="A15" s="180" t="s">
        <v>687</v>
      </c>
      <c r="B15" s="200"/>
      <c r="C15" s="200"/>
      <c r="D15" s="200"/>
      <c r="E15" s="200"/>
      <c r="F15" s="200"/>
    </row>
    <row r="16" spans="1:6" ht="15" x14ac:dyDescent="0.2">
      <c r="A16" s="109"/>
      <c r="B16" s="110"/>
      <c r="C16" s="110"/>
      <c r="D16" s="110"/>
      <c r="E16" s="110"/>
      <c r="F16" s="110"/>
    </row>
    <row r="17" spans="1:7" x14ac:dyDescent="0.2">
      <c r="D17" s="6"/>
    </row>
    <row r="18" spans="1:7" x14ac:dyDescent="0.2">
      <c r="A18" s="184" t="s">
        <v>119</v>
      </c>
      <c r="B18" s="184" t="s">
        <v>113</v>
      </c>
      <c r="C18" s="190" t="s">
        <v>270</v>
      </c>
      <c r="D18" s="199" t="s">
        <v>27</v>
      </c>
      <c r="E18" s="179"/>
      <c r="F18" s="179"/>
    </row>
    <row r="19" spans="1:7" x14ac:dyDescent="0.2">
      <c r="A19" s="185"/>
      <c r="B19" s="185"/>
      <c r="C19" s="198"/>
      <c r="D19" s="190" t="s">
        <v>464</v>
      </c>
      <c r="E19" s="179" t="s">
        <v>140</v>
      </c>
      <c r="F19" s="179"/>
    </row>
    <row r="20" spans="1:7" x14ac:dyDescent="0.2">
      <c r="A20" s="186"/>
      <c r="B20" s="186"/>
      <c r="C20" s="191"/>
      <c r="D20" s="191"/>
      <c r="E20" s="143" t="s">
        <v>590</v>
      </c>
      <c r="F20" s="143" t="s">
        <v>655</v>
      </c>
    </row>
    <row r="21" spans="1:7" x14ac:dyDescent="0.2">
      <c r="A21" s="2">
        <v>3</v>
      </c>
      <c r="B21" s="2">
        <v>4</v>
      </c>
      <c r="C21" s="2">
        <v>5</v>
      </c>
      <c r="D21" s="2">
        <v>6</v>
      </c>
      <c r="E21" s="2">
        <v>7</v>
      </c>
      <c r="F21" s="2">
        <v>8</v>
      </c>
    </row>
    <row r="22" spans="1:7" ht="18" x14ac:dyDescent="0.25">
      <c r="A22" s="2"/>
      <c r="B22" s="2"/>
      <c r="C22" s="9" t="s">
        <v>92</v>
      </c>
      <c r="D22" s="160">
        <f>D23+D576</f>
        <v>1751889.0999999999</v>
      </c>
      <c r="E22" s="161">
        <f>E23+E576</f>
        <v>1169103.3000000003</v>
      </c>
      <c r="F22" s="161">
        <f>F23+F576</f>
        <v>1170882</v>
      </c>
    </row>
    <row r="23" spans="1:7" ht="15.75" x14ac:dyDescent="0.25">
      <c r="A23" s="2"/>
      <c r="B23" s="2"/>
      <c r="C23" s="3" t="s">
        <v>359</v>
      </c>
      <c r="D23" s="160">
        <f>D24+D147+D225+D262+D319+D350+D357+D386+D395+D430+D445+D469+D515+D535+D547+D556</f>
        <v>1609023.4</v>
      </c>
      <c r="E23" s="160">
        <f>E24+E147+E225+E262+E319+E350+E357+E386+E395+E430+E445+E469+E515+E535+E547+E556</f>
        <v>1042728.8000000003</v>
      </c>
      <c r="F23" s="160">
        <f>F24+F147+F225+F262+F319+F350+F357+F386+F395+F430+F445+F469+F515+F535+F547+F556</f>
        <v>1044412.2000000001</v>
      </c>
    </row>
    <row r="24" spans="1:7" ht="67.5" customHeight="1" x14ac:dyDescent="0.2">
      <c r="A24" s="73" t="s">
        <v>73</v>
      </c>
      <c r="B24" s="35"/>
      <c r="C24" s="64" t="s">
        <v>571</v>
      </c>
      <c r="D24" s="62">
        <f>D25+D40+D94+D114+D142</f>
        <v>702692.10000000009</v>
      </c>
      <c r="E24" s="62">
        <f>E25+E40+E94+E114+E142</f>
        <v>677393.10000000009</v>
      </c>
      <c r="F24" s="62">
        <f>F25+F40+F94+F114+F142</f>
        <v>682389.10000000009</v>
      </c>
      <c r="G24" s="103"/>
    </row>
    <row r="25" spans="1:7" ht="25.5" x14ac:dyDescent="0.2">
      <c r="A25" s="52" t="s">
        <v>74</v>
      </c>
      <c r="B25" s="35"/>
      <c r="C25" s="46" t="s">
        <v>388</v>
      </c>
      <c r="D25" s="94">
        <f>D26+D31+D36</f>
        <v>189178.7</v>
      </c>
      <c r="E25" s="94">
        <f>E26+E31+E36</f>
        <v>186794.59999999998</v>
      </c>
      <c r="F25" s="94">
        <f>F26+F31+F36</f>
        <v>186794.59999999998</v>
      </c>
      <c r="G25" s="103"/>
    </row>
    <row r="26" spans="1:7" ht="38.25" x14ac:dyDescent="0.2">
      <c r="A26" s="21" t="s">
        <v>332</v>
      </c>
      <c r="B26" s="35"/>
      <c r="C26" s="97" t="s">
        <v>389</v>
      </c>
      <c r="D26" s="94">
        <f>D27+D29</f>
        <v>175639.2</v>
      </c>
      <c r="E26" s="94">
        <f t="shared" ref="E26:F26" si="0">E27+E29</f>
        <v>173777.3</v>
      </c>
      <c r="F26" s="94">
        <f t="shared" si="0"/>
        <v>173777.3</v>
      </c>
      <c r="G26" s="103"/>
    </row>
    <row r="27" spans="1:7" ht="51" customHeight="1" x14ac:dyDescent="0.2">
      <c r="A27" s="21" t="s">
        <v>379</v>
      </c>
      <c r="B27" s="21"/>
      <c r="C27" s="98" t="s">
        <v>378</v>
      </c>
      <c r="D27" s="94">
        <f>D28</f>
        <v>101091.8</v>
      </c>
      <c r="E27" s="94">
        <f t="shared" ref="E27:F27" si="1">E28</f>
        <v>100956.2</v>
      </c>
      <c r="F27" s="94">
        <f t="shared" si="1"/>
        <v>100956.2</v>
      </c>
      <c r="G27" s="103"/>
    </row>
    <row r="28" spans="1:7" x14ac:dyDescent="0.2">
      <c r="A28" s="21" t="s">
        <v>379</v>
      </c>
      <c r="B28" s="21" t="s">
        <v>225</v>
      </c>
      <c r="C28" s="98" t="s">
        <v>224</v>
      </c>
      <c r="D28" s="1">
        <f>94397.6+6694.2</f>
        <v>101091.8</v>
      </c>
      <c r="E28" s="1">
        <f>94400.5+6555.7</f>
        <v>100956.2</v>
      </c>
      <c r="F28" s="1">
        <f>94400.5+6555.7</f>
        <v>100956.2</v>
      </c>
      <c r="G28" s="103"/>
    </row>
    <row r="29" spans="1:7" ht="64.5" customHeight="1" x14ac:dyDescent="0.25">
      <c r="A29" s="131" t="s">
        <v>381</v>
      </c>
      <c r="B29" s="21"/>
      <c r="C29" s="98" t="s">
        <v>380</v>
      </c>
      <c r="D29" s="94">
        <f>D30</f>
        <v>74547.400000000009</v>
      </c>
      <c r="E29" s="94">
        <f t="shared" ref="E29:F29" si="2">E30</f>
        <v>72821.100000000006</v>
      </c>
      <c r="F29" s="94">
        <f t="shared" si="2"/>
        <v>72821.100000000006</v>
      </c>
      <c r="G29" s="103"/>
    </row>
    <row r="30" spans="1:7" ht="15" x14ac:dyDescent="0.25">
      <c r="A30" s="131" t="s">
        <v>381</v>
      </c>
      <c r="B30" s="21" t="s">
        <v>225</v>
      </c>
      <c r="C30" s="98" t="s">
        <v>224</v>
      </c>
      <c r="D30" s="94">
        <f>72821.1+2851.3-1125</f>
        <v>74547.400000000009</v>
      </c>
      <c r="E30" s="94">
        <v>72821.100000000006</v>
      </c>
      <c r="F30" s="94">
        <v>72821.100000000006</v>
      </c>
      <c r="G30" s="103"/>
    </row>
    <row r="31" spans="1:7" ht="26.25" customHeight="1" x14ac:dyDescent="0.2">
      <c r="A31" s="21" t="s">
        <v>282</v>
      </c>
      <c r="B31" s="35"/>
      <c r="C31" s="97" t="s">
        <v>382</v>
      </c>
      <c r="D31" s="94">
        <f>D32+D34</f>
        <v>522.20000000000005</v>
      </c>
      <c r="E31" s="94">
        <f t="shared" ref="E31:F31" si="3">E32+E34</f>
        <v>0</v>
      </c>
      <c r="F31" s="94">
        <f t="shared" si="3"/>
        <v>0</v>
      </c>
      <c r="G31" s="103"/>
    </row>
    <row r="32" spans="1:7" ht="52.5" customHeight="1" x14ac:dyDescent="0.2">
      <c r="A32" s="21" t="s">
        <v>384</v>
      </c>
      <c r="B32" s="57"/>
      <c r="C32" s="97" t="s">
        <v>383</v>
      </c>
      <c r="D32" s="94">
        <f>D33</f>
        <v>342.9</v>
      </c>
      <c r="E32" s="94">
        <f t="shared" ref="E32:F32" si="4">E33</f>
        <v>0</v>
      </c>
      <c r="F32" s="94">
        <f t="shared" si="4"/>
        <v>0</v>
      </c>
      <c r="G32" s="103"/>
    </row>
    <row r="33" spans="1:7" x14ac:dyDescent="0.2">
      <c r="A33" s="21" t="s">
        <v>384</v>
      </c>
      <c r="B33" s="21" t="s">
        <v>225</v>
      </c>
      <c r="C33" s="98" t="s">
        <v>224</v>
      </c>
      <c r="D33" s="94">
        <f>120+22.9+200</f>
        <v>342.9</v>
      </c>
      <c r="E33" s="94">
        <v>0</v>
      </c>
      <c r="F33" s="94">
        <v>0</v>
      </c>
      <c r="G33" s="103"/>
    </row>
    <row r="34" spans="1:7" ht="54" customHeight="1" x14ac:dyDescent="0.2">
      <c r="A34" s="57" t="s">
        <v>705</v>
      </c>
      <c r="B34" s="21"/>
      <c r="C34" s="98" t="s">
        <v>706</v>
      </c>
      <c r="D34" s="94">
        <f t="shared" ref="D34:F34" si="5">D35</f>
        <v>179.3</v>
      </c>
      <c r="E34" s="94">
        <f t="shared" si="5"/>
        <v>0</v>
      </c>
      <c r="F34" s="94">
        <f t="shared" si="5"/>
        <v>0</v>
      </c>
      <c r="G34" s="103"/>
    </row>
    <row r="35" spans="1:7" x14ac:dyDescent="0.2">
      <c r="A35" s="57" t="s">
        <v>705</v>
      </c>
      <c r="B35" s="21" t="s">
        <v>225</v>
      </c>
      <c r="C35" s="98" t="s">
        <v>224</v>
      </c>
      <c r="D35" s="94">
        <v>179.3</v>
      </c>
      <c r="E35" s="94">
        <f t="shared" ref="E35:F35" si="6">150-150</f>
        <v>0</v>
      </c>
      <c r="F35" s="94">
        <f t="shared" si="6"/>
        <v>0</v>
      </c>
      <c r="G35" s="103"/>
    </row>
    <row r="36" spans="1:7" ht="25.5" x14ac:dyDescent="0.2">
      <c r="A36" s="21" t="s">
        <v>283</v>
      </c>
      <c r="B36" s="21"/>
      <c r="C36" s="97" t="s">
        <v>385</v>
      </c>
      <c r="D36" s="94">
        <f>D37</f>
        <v>13017.3</v>
      </c>
      <c r="E36" s="94">
        <f>E37</f>
        <v>13017.3</v>
      </c>
      <c r="F36" s="94">
        <f>F37</f>
        <v>13017.3</v>
      </c>
      <c r="G36" s="103"/>
    </row>
    <row r="37" spans="1:7" ht="78.75" customHeight="1" x14ac:dyDescent="0.2">
      <c r="A37" s="57" t="s">
        <v>387</v>
      </c>
      <c r="B37" s="21"/>
      <c r="C37" s="98" t="s">
        <v>386</v>
      </c>
      <c r="D37" s="94">
        <f>D38+D39</f>
        <v>13017.3</v>
      </c>
      <c r="E37" s="94">
        <f>E38+E39</f>
        <v>13017.3</v>
      </c>
      <c r="F37" s="94">
        <f>F38+F39</f>
        <v>13017.3</v>
      </c>
      <c r="G37" s="103"/>
    </row>
    <row r="38" spans="1:7" ht="38.25" x14ac:dyDescent="0.2">
      <c r="A38" s="57" t="s">
        <v>387</v>
      </c>
      <c r="B38" s="82" t="s">
        <v>211</v>
      </c>
      <c r="C38" s="98" t="s">
        <v>212</v>
      </c>
      <c r="D38" s="94">
        <v>330</v>
      </c>
      <c r="E38" s="94">
        <v>330</v>
      </c>
      <c r="F38" s="94">
        <v>330</v>
      </c>
      <c r="G38" s="103"/>
    </row>
    <row r="39" spans="1:7" ht="25.5" customHeight="1" x14ac:dyDescent="0.2">
      <c r="A39" s="57" t="s">
        <v>387</v>
      </c>
      <c r="B39" s="82" t="s">
        <v>260</v>
      </c>
      <c r="C39" s="98" t="s">
        <v>249</v>
      </c>
      <c r="D39" s="94">
        <v>12687.3</v>
      </c>
      <c r="E39" s="94">
        <v>12687.3</v>
      </c>
      <c r="F39" s="94">
        <v>12687.3</v>
      </c>
      <c r="G39" s="103"/>
    </row>
    <row r="40" spans="1:7" ht="38.25" x14ac:dyDescent="0.2">
      <c r="A40" s="52" t="s">
        <v>75</v>
      </c>
      <c r="B40" s="21"/>
      <c r="C40" s="46" t="s">
        <v>559</v>
      </c>
      <c r="D40" s="94">
        <f>D41+D48+D57+D64+D77+D88+D91</f>
        <v>449478.9</v>
      </c>
      <c r="E40" s="94">
        <f>E41+E48+E57+E64+E77+E88+E91</f>
        <v>427945.2</v>
      </c>
      <c r="F40" s="94">
        <f>F41+F48+F57+F64+F77+F88+F91</f>
        <v>432941.2</v>
      </c>
      <c r="G40" s="103"/>
    </row>
    <row r="41" spans="1:7" ht="51" x14ac:dyDescent="0.2">
      <c r="A41" s="21" t="s">
        <v>287</v>
      </c>
      <c r="B41" s="35"/>
      <c r="C41" s="97" t="s">
        <v>390</v>
      </c>
      <c r="D41" s="94">
        <f>D42+D44+D46</f>
        <v>381112.50000000006</v>
      </c>
      <c r="E41" s="94">
        <f t="shared" ref="E41:F41" si="7">E42+E44+E46</f>
        <v>374105</v>
      </c>
      <c r="F41" s="94">
        <f t="shared" si="7"/>
        <v>374105</v>
      </c>
      <c r="G41" s="103"/>
    </row>
    <row r="42" spans="1:7" ht="66.75" customHeight="1" x14ac:dyDescent="0.2">
      <c r="A42" s="82" t="s">
        <v>392</v>
      </c>
      <c r="B42" s="82"/>
      <c r="C42" s="98" t="s">
        <v>391</v>
      </c>
      <c r="D42" s="94">
        <f>D43</f>
        <v>268148.40000000002</v>
      </c>
      <c r="E42" s="94">
        <f>E43</f>
        <v>267674.5</v>
      </c>
      <c r="F42" s="94">
        <f>F43</f>
        <v>267674.5</v>
      </c>
      <c r="G42" s="103"/>
    </row>
    <row r="43" spans="1:7" x14ac:dyDescent="0.2">
      <c r="A43" s="57" t="s">
        <v>392</v>
      </c>
      <c r="B43" s="21" t="s">
        <v>225</v>
      </c>
      <c r="C43" s="98" t="s">
        <v>224</v>
      </c>
      <c r="D43" s="39">
        <f>250542.2-2+17608.2</f>
        <v>268148.40000000002</v>
      </c>
      <c r="E43" s="39">
        <f>250596.1+0.2+17078.2</f>
        <v>267674.5</v>
      </c>
      <c r="F43" s="39">
        <f>250596.1+0.2+17078.2</f>
        <v>267674.5</v>
      </c>
      <c r="G43" s="103"/>
    </row>
    <row r="44" spans="1:7" ht="66.75" customHeight="1" x14ac:dyDescent="0.2">
      <c r="A44" s="57" t="s">
        <v>393</v>
      </c>
      <c r="B44" s="21"/>
      <c r="C44" s="98" t="s">
        <v>286</v>
      </c>
      <c r="D44" s="94">
        <f>D45</f>
        <v>97105.7</v>
      </c>
      <c r="E44" s="94">
        <f>E45</f>
        <v>90572.1</v>
      </c>
      <c r="F44" s="94">
        <f>F45</f>
        <v>90572.1</v>
      </c>
      <c r="G44" s="103"/>
    </row>
    <row r="45" spans="1:7" x14ac:dyDescent="0.2">
      <c r="A45" s="57" t="s">
        <v>393</v>
      </c>
      <c r="B45" s="21" t="s">
        <v>225</v>
      </c>
      <c r="C45" s="98" t="s">
        <v>224</v>
      </c>
      <c r="D45" s="94">
        <f>90572.1+3801.7+1686.2+1045.7</f>
        <v>97105.7</v>
      </c>
      <c r="E45" s="94">
        <v>90572.1</v>
      </c>
      <c r="F45" s="94">
        <v>90572.1</v>
      </c>
      <c r="G45" s="103"/>
    </row>
    <row r="46" spans="1:7" ht="49.5" customHeight="1" x14ac:dyDescent="0.2">
      <c r="A46" s="57" t="s">
        <v>749</v>
      </c>
      <c r="B46" s="21"/>
      <c r="C46" s="98" t="s">
        <v>394</v>
      </c>
      <c r="D46" s="94">
        <f>D47</f>
        <v>15858.4</v>
      </c>
      <c r="E46" s="94">
        <f>E47</f>
        <v>15858.4</v>
      </c>
      <c r="F46" s="94">
        <f>F47</f>
        <v>15858.4</v>
      </c>
      <c r="G46" s="103"/>
    </row>
    <row r="47" spans="1:7" x14ac:dyDescent="0.2">
      <c r="A47" s="57" t="s">
        <v>749</v>
      </c>
      <c r="B47" s="21" t="s">
        <v>225</v>
      </c>
      <c r="C47" s="98" t="s">
        <v>224</v>
      </c>
      <c r="D47" s="1">
        <v>15858.4</v>
      </c>
      <c r="E47" s="1">
        <v>15858.4</v>
      </c>
      <c r="F47" s="1">
        <v>15858.4</v>
      </c>
      <c r="G47" s="103"/>
    </row>
    <row r="48" spans="1:7" ht="37.5" customHeight="1" x14ac:dyDescent="0.2">
      <c r="A48" s="21" t="s">
        <v>396</v>
      </c>
      <c r="B48" s="82"/>
      <c r="C48" s="97" t="s">
        <v>395</v>
      </c>
      <c r="D48" s="94">
        <f>D49+D51+D53+D55</f>
        <v>5244.9</v>
      </c>
      <c r="E48" s="94">
        <f t="shared" ref="E48:F48" si="8">E49+E51+E53+E55</f>
        <v>0</v>
      </c>
      <c r="F48" s="94">
        <f t="shared" si="8"/>
        <v>0</v>
      </c>
      <c r="G48" s="103"/>
    </row>
    <row r="49" spans="1:7" ht="51" customHeight="1" x14ac:dyDescent="0.2">
      <c r="A49" s="57" t="s">
        <v>397</v>
      </c>
      <c r="B49" s="21"/>
      <c r="C49" s="98" t="s">
        <v>398</v>
      </c>
      <c r="D49" s="94">
        <f>D50</f>
        <v>1154</v>
      </c>
      <c r="E49" s="94">
        <f>E50</f>
        <v>0</v>
      </c>
      <c r="F49" s="94">
        <f>F50</f>
        <v>0</v>
      </c>
      <c r="G49" s="103"/>
    </row>
    <row r="50" spans="1:7" x14ac:dyDescent="0.2">
      <c r="A50" s="57" t="s">
        <v>397</v>
      </c>
      <c r="B50" s="21" t="s">
        <v>225</v>
      </c>
      <c r="C50" s="98" t="s">
        <v>224</v>
      </c>
      <c r="D50" s="94">
        <f>454+120.2+700-20.2-100</f>
        <v>1154</v>
      </c>
      <c r="E50" s="94">
        <v>0</v>
      </c>
      <c r="F50" s="94">
        <v>0</v>
      </c>
      <c r="G50" s="103"/>
    </row>
    <row r="51" spans="1:7" ht="51.75" customHeight="1" x14ac:dyDescent="0.2">
      <c r="A51" s="57" t="s">
        <v>399</v>
      </c>
      <c r="B51" s="57"/>
      <c r="C51" s="124" t="s">
        <v>400</v>
      </c>
      <c r="D51" s="94">
        <f>D52</f>
        <v>2249.4</v>
      </c>
      <c r="E51" s="94">
        <f>E52</f>
        <v>0</v>
      </c>
      <c r="F51" s="94">
        <f>F52</f>
        <v>0</v>
      </c>
      <c r="G51" s="103"/>
    </row>
    <row r="52" spans="1:7" x14ac:dyDescent="0.2">
      <c r="A52" s="57" t="s">
        <v>399</v>
      </c>
      <c r="B52" s="21" t="s">
        <v>225</v>
      </c>
      <c r="C52" s="98" t="s">
        <v>224</v>
      </c>
      <c r="D52" s="94">
        <f>864.7+1036-120.2+369.4+99.5</f>
        <v>2249.4</v>
      </c>
      <c r="E52" s="94">
        <v>0</v>
      </c>
      <c r="F52" s="94">
        <v>0</v>
      </c>
      <c r="G52" s="103"/>
    </row>
    <row r="53" spans="1:7" ht="42" customHeight="1" x14ac:dyDescent="0.2">
      <c r="A53" s="57" t="s">
        <v>609</v>
      </c>
      <c r="B53" s="21"/>
      <c r="C53" s="98" t="s">
        <v>610</v>
      </c>
      <c r="D53" s="94">
        <f>D54</f>
        <v>841.5</v>
      </c>
      <c r="E53" s="94">
        <f t="shared" ref="E53:F53" si="9">E54</f>
        <v>0</v>
      </c>
      <c r="F53" s="94">
        <f t="shared" si="9"/>
        <v>0</v>
      </c>
      <c r="G53" s="103"/>
    </row>
    <row r="54" spans="1:7" x14ac:dyDescent="0.2">
      <c r="A54" s="57" t="s">
        <v>609</v>
      </c>
      <c r="B54" s="21" t="s">
        <v>225</v>
      </c>
      <c r="C54" s="98" t="s">
        <v>224</v>
      </c>
      <c r="D54" s="94">
        <f>500+341.5</f>
        <v>841.5</v>
      </c>
      <c r="E54" s="94">
        <v>0</v>
      </c>
      <c r="F54" s="94">
        <v>0</v>
      </c>
      <c r="G54" s="103"/>
    </row>
    <row r="55" spans="1:7" ht="51" x14ac:dyDescent="0.2">
      <c r="A55" s="57" t="s">
        <v>743</v>
      </c>
      <c r="B55" s="21"/>
      <c r="C55" s="98" t="s">
        <v>744</v>
      </c>
      <c r="D55" s="94">
        <f>D56</f>
        <v>1000</v>
      </c>
      <c r="E55" s="94">
        <f t="shared" ref="E55:F55" si="10">E56</f>
        <v>0</v>
      </c>
      <c r="F55" s="94">
        <f t="shared" si="10"/>
        <v>0</v>
      </c>
      <c r="G55" s="103"/>
    </row>
    <row r="56" spans="1:7" x14ac:dyDescent="0.2">
      <c r="A56" s="57" t="s">
        <v>743</v>
      </c>
      <c r="B56" s="21" t="s">
        <v>225</v>
      </c>
      <c r="C56" s="98" t="s">
        <v>224</v>
      </c>
      <c r="D56" s="94">
        <v>1000</v>
      </c>
      <c r="E56" s="94">
        <v>0</v>
      </c>
      <c r="F56" s="94">
        <v>0</v>
      </c>
      <c r="G56" s="103"/>
    </row>
    <row r="57" spans="1:7" ht="50.25" customHeight="1" x14ac:dyDescent="0.2">
      <c r="A57" s="21" t="s">
        <v>401</v>
      </c>
      <c r="B57" s="21"/>
      <c r="C57" s="97" t="s">
        <v>737</v>
      </c>
      <c r="D57" s="94">
        <f>D58+D60+D62</f>
        <v>26803.8</v>
      </c>
      <c r="E57" s="94">
        <f>E58+E60+E62</f>
        <v>26638.7</v>
      </c>
      <c r="F57" s="94">
        <f>F58+F60+F62</f>
        <v>26563.8</v>
      </c>
      <c r="G57" s="103"/>
    </row>
    <row r="58" spans="1:7" ht="35.25" customHeight="1" x14ac:dyDescent="0.2">
      <c r="A58" s="57" t="s">
        <v>402</v>
      </c>
      <c r="B58" s="21"/>
      <c r="C58" s="98" t="s">
        <v>307</v>
      </c>
      <c r="D58" s="94">
        <f>D59</f>
        <v>5242.3</v>
      </c>
      <c r="E58" s="94">
        <f>E59</f>
        <v>5242.3</v>
      </c>
      <c r="F58" s="94">
        <f>F59</f>
        <v>5242.3</v>
      </c>
      <c r="G58" s="103"/>
    </row>
    <row r="59" spans="1:7" x14ac:dyDescent="0.2">
      <c r="A59" s="57" t="s">
        <v>402</v>
      </c>
      <c r="B59" s="21" t="s">
        <v>225</v>
      </c>
      <c r="C59" s="98" t="s">
        <v>224</v>
      </c>
      <c r="D59" s="39">
        <v>5242.3</v>
      </c>
      <c r="E59" s="39">
        <v>5242.3</v>
      </c>
      <c r="F59" s="39">
        <v>5242.3</v>
      </c>
      <c r="G59" s="103"/>
    </row>
    <row r="60" spans="1:7" ht="65.25" customHeight="1" x14ac:dyDescent="0.2">
      <c r="A60" s="21" t="s">
        <v>403</v>
      </c>
      <c r="B60" s="21"/>
      <c r="C60" s="98" t="s">
        <v>135</v>
      </c>
      <c r="D60" s="94">
        <f>D61</f>
        <v>21321.5</v>
      </c>
      <c r="E60" s="94">
        <f>E61</f>
        <v>21321.5</v>
      </c>
      <c r="F60" s="94">
        <f>F61</f>
        <v>21321.5</v>
      </c>
      <c r="G60" s="103"/>
    </row>
    <row r="61" spans="1:7" x14ac:dyDescent="0.2">
      <c r="A61" s="21" t="s">
        <v>403</v>
      </c>
      <c r="B61" s="21" t="s">
        <v>225</v>
      </c>
      <c r="C61" s="98" t="s">
        <v>224</v>
      </c>
      <c r="D61" s="94">
        <v>21321.5</v>
      </c>
      <c r="E61" s="94">
        <v>21321.5</v>
      </c>
      <c r="F61" s="94">
        <v>21321.5</v>
      </c>
      <c r="G61" s="103"/>
    </row>
    <row r="62" spans="1:7" ht="52.5" customHeight="1" x14ac:dyDescent="0.2">
      <c r="A62" s="21" t="s">
        <v>404</v>
      </c>
      <c r="B62" s="21"/>
      <c r="C62" s="98" t="s">
        <v>569</v>
      </c>
      <c r="D62" s="94">
        <f>D63</f>
        <v>240</v>
      </c>
      <c r="E62" s="94">
        <f>E63</f>
        <v>74.900000000000006</v>
      </c>
      <c r="F62" s="94">
        <f>F63</f>
        <v>0</v>
      </c>
      <c r="G62" s="103"/>
    </row>
    <row r="63" spans="1:7" x14ac:dyDescent="0.2">
      <c r="A63" s="21" t="s">
        <v>404</v>
      </c>
      <c r="B63" s="21" t="s">
        <v>225</v>
      </c>
      <c r="C63" s="98" t="s">
        <v>224</v>
      </c>
      <c r="D63" s="41">
        <v>240</v>
      </c>
      <c r="E63" s="41">
        <v>74.900000000000006</v>
      </c>
      <c r="F63" s="41">
        <v>0</v>
      </c>
      <c r="G63" s="103"/>
    </row>
    <row r="64" spans="1:7" ht="51" x14ac:dyDescent="0.2">
      <c r="A64" s="21" t="s">
        <v>405</v>
      </c>
      <c r="B64" s="21"/>
      <c r="C64" s="97" t="s">
        <v>406</v>
      </c>
      <c r="D64" s="41">
        <f>D65+D67+D70+D72+D75</f>
        <v>30104.600000000002</v>
      </c>
      <c r="E64" s="41">
        <f t="shared" ref="E64:F64" si="11">E65+E67+E70+E72+E75</f>
        <v>24383.4</v>
      </c>
      <c r="F64" s="41">
        <f t="shared" si="11"/>
        <v>28918.000000000004</v>
      </c>
      <c r="G64" s="103"/>
    </row>
    <row r="65" spans="1:13" ht="53.25" customHeight="1" x14ac:dyDescent="0.2">
      <c r="A65" s="21" t="s">
        <v>643</v>
      </c>
      <c r="B65" s="82"/>
      <c r="C65" s="55" t="s">
        <v>371</v>
      </c>
      <c r="D65" s="41">
        <f>D66</f>
        <v>19143.3</v>
      </c>
      <c r="E65" s="41">
        <f>E66</f>
        <v>18674.599999999999</v>
      </c>
      <c r="F65" s="41">
        <f>F66</f>
        <v>18296.400000000001</v>
      </c>
      <c r="G65" s="103"/>
    </row>
    <row r="66" spans="1:13" x14ac:dyDescent="0.2">
      <c r="A66" s="21" t="s">
        <v>643</v>
      </c>
      <c r="B66" s="21" t="s">
        <v>225</v>
      </c>
      <c r="C66" s="98" t="s">
        <v>224</v>
      </c>
      <c r="D66" s="39">
        <v>19143.3</v>
      </c>
      <c r="E66" s="39">
        <v>18674.599999999999</v>
      </c>
      <c r="F66" s="39">
        <v>18296.400000000001</v>
      </c>
      <c r="G66" s="103"/>
    </row>
    <row r="67" spans="1:13" ht="25.5" customHeight="1" x14ac:dyDescent="0.2">
      <c r="A67" s="57" t="s">
        <v>555</v>
      </c>
      <c r="B67" s="21"/>
      <c r="C67" s="98" t="s">
        <v>134</v>
      </c>
      <c r="D67" s="41">
        <f>SUM(D68:D69)</f>
        <v>215.9</v>
      </c>
      <c r="E67" s="41">
        <f>SUM(E68:E69)</f>
        <v>215.9</v>
      </c>
      <c r="F67" s="41">
        <f>SUM(F68:F69)</f>
        <v>215.9</v>
      </c>
      <c r="G67" s="103"/>
    </row>
    <row r="68" spans="1:13" ht="26.25" customHeight="1" x14ac:dyDescent="0.2">
      <c r="A68" s="57" t="s">
        <v>555</v>
      </c>
      <c r="B68" s="82" t="s">
        <v>64</v>
      </c>
      <c r="C68" s="55" t="s">
        <v>130</v>
      </c>
      <c r="D68" s="41">
        <v>88.5</v>
      </c>
      <c r="E68" s="41">
        <v>88.5</v>
      </c>
      <c r="F68" s="41">
        <v>88.5</v>
      </c>
      <c r="G68" s="103"/>
    </row>
    <row r="69" spans="1:13" ht="38.25" x14ac:dyDescent="0.2">
      <c r="A69" s="57" t="s">
        <v>555</v>
      </c>
      <c r="B69" s="82" t="s">
        <v>211</v>
      </c>
      <c r="C69" s="98" t="s">
        <v>212</v>
      </c>
      <c r="D69" s="41">
        <v>127.4</v>
      </c>
      <c r="E69" s="41">
        <v>127.4</v>
      </c>
      <c r="F69" s="41">
        <v>127.4</v>
      </c>
      <c r="G69" s="103"/>
    </row>
    <row r="70" spans="1:13" x14ac:dyDescent="0.2">
      <c r="A70" s="57" t="s">
        <v>407</v>
      </c>
      <c r="B70" s="21"/>
      <c r="C70" s="98" t="s">
        <v>45</v>
      </c>
      <c r="D70" s="41">
        <f>D71</f>
        <v>3042.5</v>
      </c>
      <c r="E70" s="41">
        <f>E71</f>
        <v>3042.5</v>
      </c>
      <c r="F70" s="41">
        <f>F71</f>
        <v>3042.5</v>
      </c>
      <c r="G70" s="103"/>
    </row>
    <row r="71" spans="1:13" x14ac:dyDescent="0.2">
      <c r="A71" s="57" t="s">
        <v>407</v>
      </c>
      <c r="B71" s="21" t="s">
        <v>225</v>
      </c>
      <c r="C71" s="98" t="s">
        <v>224</v>
      </c>
      <c r="D71" s="41">
        <v>3042.5</v>
      </c>
      <c r="E71" s="41">
        <v>3042.5</v>
      </c>
      <c r="F71" s="41">
        <v>3042.5</v>
      </c>
      <c r="G71" s="103"/>
    </row>
    <row r="72" spans="1:13" ht="39" customHeight="1" x14ac:dyDescent="0.25">
      <c r="A72" s="57" t="s">
        <v>409</v>
      </c>
      <c r="B72" s="21"/>
      <c r="C72" s="98" t="s">
        <v>408</v>
      </c>
      <c r="D72" s="41">
        <f>SUM(D73:D74)</f>
        <v>2450.4</v>
      </c>
      <c r="E72" s="41">
        <f>SUM(E73:E74)</f>
        <v>2450.4</v>
      </c>
      <c r="F72" s="41">
        <f>SUM(F73:F74)</f>
        <v>2450.4</v>
      </c>
      <c r="G72" s="103"/>
      <c r="J72" s="144"/>
      <c r="K72" s="145"/>
      <c r="L72" s="145"/>
      <c r="M72" s="144"/>
    </row>
    <row r="73" spans="1:13" ht="38.25" x14ac:dyDescent="0.2">
      <c r="A73" s="57" t="s">
        <v>409</v>
      </c>
      <c r="B73" s="82" t="s">
        <v>211</v>
      </c>
      <c r="C73" s="98" t="s">
        <v>212</v>
      </c>
      <c r="D73" s="39">
        <v>200</v>
      </c>
      <c r="E73" s="39">
        <v>200</v>
      </c>
      <c r="F73" s="39">
        <v>200</v>
      </c>
      <c r="G73" s="103"/>
    </row>
    <row r="74" spans="1:13" x14ac:dyDescent="0.2">
      <c r="A74" s="57" t="s">
        <v>409</v>
      </c>
      <c r="B74" s="21" t="s">
        <v>225</v>
      </c>
      <c r="C74" s="98" t="s">
        <v>224</v>
      </c>
      <c r="D74" s="39">
        <v>2250.4</v>
      </c>
      <c r="E74" s="39">
        <v>2250.4</v>
      </c>
      <c r="F74" s="39">
        <v>2250.4</v>
      </c>
      <c r="G74" s="103"/>
    </row>
    <row r="75" spans="1:13" ht="54" customHeight="1" x14ac:dyDescent="0.2">
      <c r="A75" s="57" t="s">
        <v>550</v>
      </c>
      <c r="B75" s="16"/>
      <c r="C75" s="98" t="s">
        <v>551</v>
      </c>
      <c r="D75" s="41">
        <f>D76</f>
        <v>5252.5</v>
      </c>
      <c r="E75" s="41">
        <f t="shared" ref="E75:F75" si="12">E76</f>
        <v>0</v>
      </c>
      <c r="F75" s="41">
        <f t="shared" si="12"/>
        <v>4912.8</v>
      </c>
      <c r="G75" s="103"/>
    </row>
    <row r="76" spans="1:13" x14ac:dyDescent="0.2">
      <c r="A76" s="57" t="s">
        <v>550</v>
      </c>
      <c r="B76" s="21" t="s">
        <v>225</v>
      </c>
      <c r="C76" s="98" t="s">
        <v>224</v>
      </c>
      <c r="D76" s="41">
        <v>5252.5</v>
      </c>
      <c r="E76" s="41">
        <v>0</v>
      </c>
      <c r="F76" s="41">
        <v>4912.8</v>
      </c>
      <c r="G76" s="103"/>
    </row>
    <row r="77" spans="1:13" ht="38.25" x14ac:dyDescent="0.2">
      <c r="A77" s="57" t="s">
        <v>611</v>
      </c>
      <c r="B77" s="21"/>
      <c r="C77" s="148" t="s">
        <v>612</v>
      </c>
      <c r="D77" s="41">
        <f>D78+D80+D82+D84+D86</f>
        <v>1104.2</v>
      </c>
      <c r="E77" s="41">
        <f t="shared" ref="E77:F77" si="13">E78+E80+E82</f>
        <v>250</v>
      </c>
      <c r="F77" s="41">
        <f t="shared" si="13"/>
        <v>250</v>
      </c>
      <c r="G77" s="103"/>
    </row>
    <row r="78" spans="1:13" ht="51" customHeight="1" x14ac:dyDescent="0.2">
      <c r="A78" s="57" t="s">
        <v>677</v>
      </c>
      <c r="B78" s="21"/>
      <c r="C78" s="97" t="s">
        <v>678</v>
      </c>
      <c r="D78" s="41">
        <f>D79</f>
        <v>0</v>
      </c>
      <c r="E78" s="41">
        <f>E79</f>
        <v>250</v>
      </c>
      <c r="F78" s="41">
        <f>F79</f>
        <v>250</v>
      </c>
      <c r="G78" s="103"/>
    </row>
    <row r="79" spans="1:13" x14ac:dyDescent="0.2">
      <c r="A79" s="57" t="s">
        <v>677</v>
      </c>
      <c r="B79" s="21" t="s">
        <v>225</v>
      </c>
      <c r="C79" s="98" t="s">
        <v>224</v>
      </c>
      <c r="D79" s="41">
        <v>0</v>
      </c>
      <c r="E79" s="41">
        <v>250</v>
      </c>
      <c r="F79" s="41">
        <v>250</v>
      </c>
      <c r="G79" s="103"/>
    </row>
    <row r="80" spans="1:13" ht="51" x14ac:dyDescent="0.2">
      <c r="A80" s="57" t="s">
        <v>714</v>
      </c>
      <c r="B80" s="21"/>
      <c r="C80" s="97" t="s">
        <v>716</v>
      </c>
      <c r="D80" s="41">
        <f>D81</f>
        <v>208.1</v>
      </c>
      <c r="E80" s="41">
        <f t="shared" ref="E80:F80" si="14">E81</f>
        <v>0</v>
      </c>
      <c r="F80" s="41">
        <f t="shared" si="14"/>
        <v>0</v>
      </c>
      <c r="G80" s="103"/>
    </row>
    <row r="81" spans="1:7" x14ac:dyDescent="0.2">
      <c r="A81" s="57" t="s">
        <v>714</v>
      </c>
      <c r="B81" s="21" t="s">
        <v>225</v>
      </c>
      <c r="C81" s="98" t="s">
        <v>224</v>
      </c>
      <c r="D81" s="41">
        <f>125+90-6.9</f>
        <v>208.1</v>
      </c>
      <c r="E81" s="41">
        <v>0</v>
      </c>
      <c r="F81" s="41">
        <v>0</v>
      </c>
      <c r="G81" s="103"/>
    </row>
    <row r="82" spans="1:7" ht="38.25" x14ac:dyDescent="0.2">
      <c r="A82" s="57" t="s">
        <v>715</v>
      </c>
      <c r="B82" s="21"/>
      <c r="C82" s="97" t="s">
        <v>745</v>
      </c>
      <c r="D82" s="41">
        <f>D83</f>
        <v>215</v>
      </c>
      <c r="E82" s="41">
        <f t="shared" ref="E82:F82" si="15">E83</f>
        <v>0</v>
      </c>
      <c r="F82" s="41">
        <f t="shared" si="15"/>
        <v>0</v>
      </c>
      <c r="G82" s="103"/>
    </row>
    <row r="83" spans="1:7" x14ac:dyDescent="0.2">
      <c r="A83" s="57" t="s">
        <v>715</v>
      </c>
      <c r="B83" s="21" t="s">
        <v>225</v>
      </c>
      <c r="C83" s="98" t="s">
        <v>224</v>
      </c>
      <c r="D83" s="41">
        <f>125+90</f>
        <v>215</v>
      </c>
      <c r="E83" s="41">
        <v>0</v>
      </c>
      <c r="F83" s="41">
        <v>0</v>
      </c>
      <c r="G83" s="103"/>
    </row>
    <row r="84" spans="1:7" ht="51" x14ac:dyDescent="0.2">
      <c r="A84" s="57" t="s">
        <v>741</v>
      </c>
      <c r="B84" s="21"/>
      <c r="C84" s="97" t="s">
        <v>716</v>
      </c>
      <c r="D84" s="41">
        <f>D85</f>
        <v>377.5</v>
      </c>
      <c r="E84" s="41">
        <f t="shared" ref="E84:F84" si="16">E85</f>
        <v>0</v>
      </c>
      <c r="F84" s="41">
        <f t="shared" si="16"/>
        <v>0</v>
      </c>
      <c r="G84" s="103"/>
    </row>
    <row r="85" spans="1:7" x14ac:dyDescent="0.2">
      <c r="A85" s="57" t="s">
        <v>741</v>
      </c>
      <c r="B85" s="21" t="s">
        <v>225</v>
      </c>
      <c r="C85" s="98" t="s">
        <v>224</v>
      </c>
      <c r="D85" s="41">
        <v>377.5</v>
      </c>
      <c r="E85" s="41">
        <v>0</v>
      </c>
      <c r="F85" s="41">
        <v>0</v>
      </c>
      <c r="G85" s="103"/>
    </row>
    <row r="86" spans="1:7" ht="38.25" x14ac:dyDescent="0.2">
      <c r="A86" s="57" t="s">
        <v>742</v>
      </c>
      <c r="B86" s="21"/>
      <c r="C86" s="97" t="s">
        <v>745</v>
      </c>
      <c r="D86" s="41">
        <f>D87</f>
        <v>303.60000000000002</v>
      </c>
      <c r="E86" s="41">
        <f t="shared" ref="E86:F86" si="17">E87</f>
        <v>0</v>
      </c>
      <c r="F86" s="41">
        <f t="shared" si="17"/>
        <v>0</v>
      </c>
      <c r="G86" s="103"/>
    </row>
    <row r="87" spans="1:7" x14ac:dyDescent="0.2">
      <c r="A87" s="57" t="s">
        <v>742</v>
      </c>
      <c r="B87" s="21" t="s">
        <v>225</v>
      </c>
      <c r="C87" s="98" t="s">
        <v>224</v>
      </c>
      <c r="D87" s="41">
        <v>303.60000000000002</v>
      </c>
      <c r="E87" s="41">
        <v>0</v>
      </c>
      <c r="F87" s="41">
        <v>0</v>
      </c>
      <c r="G87" s="103"/>
    </row>
    <row r="88" spans="1:7" ht="51" x14ac:dyDescent="0.2">
      <c r="A88" s="57" t="s">
        <v>692</v>
      </c>
      <c r="B88" s="21"/>
      <c r="C88" s="98" t="s">
        <v>652</v>
      </c>
      <c r="D88" s="41">
        <f>D89</f>
        <v>2568.1</v>
      </c>
      <c r="E88" s="41">
        <f t="shared" ref="E88:F89" si="18">E89</f>
        <v>2568.1</v>
      </c>
      <c r="F88" s="41">
        <f t="shared" si="18"/>
        <v>3104.3999999999996</v>
      </c>
      <c r="G88" s="103"/>
    </row>
    <row r="89" spans="1:7" ht="63.75" x14ac:dyDescent="0.2">
      <c r="A89" s="57" t="s">
        <v>650</v>
      </c>
      <c r="B89" s="21"/>
      <c r="C89" s="98" t="s">
        <v>651</v>
      </c>
      <c r="D89" s="1">
        <f>D90</f>
        <v>2568.1</v>
      </c>
      <c r="E89" s="1">
        <f t="shared" si="18"/>
        <v>2568.1</v>
      </c>
      <c r="F89" s="1">
        <f t="shared" si="18"/>
        <v>3104.3999999999996</v>
      </c>
      <c r="G89" s="103"/>
    </row>
    <row r="90" spans="1:7" x14ac:dyDescent="0.2">
      <c r="A90" s="57" t="s">
        <v>650</v>
      </c>
      <c r="B90" s="21" t="s">
        <v>225</v>
      </c>
      <c r="C90" s="98" t="s">
        <v>224</v>
      </c>
      <c r="D90" s="1">
        <f>2567.6+0.5</f>
        <v>2568.1</v>
      </c>
      <c r="E90" s="1">
        <f>2567.6+0.5</f>
        <v>2568.1</v>
      </c>
      <c r="F90" s="1">
        <f>2567.6+536.8</f>
        <v>3104.3999999999996</v>
      </c>
      <c r="G90" s="103"/>
    </row>
    <row r="91" spans="1:7" ht="38.25" x14ac:dyDescent="0.2">
      <c r="A91" s="57" t="s">
        <v>693</v>
      </c>
      <c r="B91" s="21"/>
      <c r="C91" s="98" t="s">
        <v>694</v>
      </c>
      <c r="D91" s="39">
        <f>D92</f>
        <v>2540.8000000000002</v>
      </c>
      <c r="E91" s="1">
        <f t="shared" ref="E91:F91" si="19">E92</f>
        <v>0</v>
      </c>
      <c r="F91" s="1">
        <f t="shared" si="19"/>
        <v>0</v>
      </c>
      <c r="G91" s="103"/>
    </row>
    <row r="92" spans="1:7" ht="68.25" customHeight="1" x14ac:dyDescent="0.2">
      <c r="A92" s="57" t="s">
        <v>695</v>
      </c>
      <c r="B92" s="21"/>
      <c r="C92" s="98" t="s">
        <v>707</v>
      </c>
      <c r="D92" s="39">
        <f>D93</f>
        <v>2540.8000000000002</v>
      </c>
      <c r="E92" s="1">
        <f t="shared" ref="E92:F92" si="20">E93</f>
        <v>0</v>
      </c>
      <c r="F92" s="1">
        <f t="shared" si="20"/>
        <v>0</v>
      </c>
      <c r="G92" s="103"/>
    </row>
    <row r="93" spans="1:7" x14ac:dyDescent="0.2">
      <c r="A93" s="57" t="s">
        <v>695</v>
      </c>
      <c r="B93" s="21" t="s">
        <v>225</v>
      </c>
      <c r="C93" s="98" t="s">
        <v>224</v>
      </c>
      <c r="D93" s="1">
        <f>25.8+2515</f>
        <v>2540.8000000000002</v>
      </c>
      <c r="E93" s="1">
        <v>0</v>
      </c>
      <c r="F93" s="1">
        <v>0</v>
      </c>
      <c r="G93" s="103"/>
    </row>
    <row r="94" spans="1:7" ht="38.25" x14ac:dyDescent="0.2">
      <c r="A94" s="52" t="s">
        <v>410</v>
      </c>
      <c r="B94" s="35"/>
      <c r="C94" s="46" t="s">
        <v>411</v>
      </c>
      <c r="D94" s="94">
        <f>D95+D107</f>
        <v>52296.69999999999</v>
      </c>
      <c r="E94" s="94">
        <f>E95+E107</f>
        <v>51346.299999999996</v>
      </c>
      <c r="F94" s="94">
        <f>F95+F107</f>
        <v>51346.299999999996</v>
      </c>
      <c r="G94" s="103"/>
    </row>
    <row r="95" spans="1:7" ht="51" x14ac:dyDescent="0.2">
      <c r="A95" s="21" t="s">
        <v>415</v>
      </c>
      <c r="B95" s="21"/>
      <c r="C95" s="97" t="s">
        <v>412</v>
      </c>
      <c r="D95" s="41">
        <f>D96+D98+D103+D105</f>
        <v>51101.69999999999</v>
      </c>
      <c r="E95" s="41">
        <f t="shared" ref="E95:F95" si="21">E96+E103+E105</f>
        <v>50151.299999999996</v>
      </c>
      <c r="F95" s="41">
        <f t="shared" si="21"/>
        <v>50151.299999999996</v>
      </c>
      <c r="G95" s="103"/>
    </row>
    <row r="96" spans="1:7" ht="63" customHeight="1" x14ac:dyDescent="0.2">
      <c r="A96" s="57" t="s">
        <v>414</v>
      </c>
      <c r="B96" s="16"/>
      <c r="C96" s="98" t="s">
        <v>413</v>
      </c>
      <c r="D96" s="94">
        <f>D97</f>
        <v>26143</v>
      </c>
      <c r="E96" s="94">
        <f>SUM(E97:E97)</f>
        <v>36709.5</v>
      </c>
      <c r="F96" s="94">
        <f>SUM(F97:F97)</f>
        <v>36709.5</v>
      </c>
      <c r="G96" s="103"/>
    </row>
    <row r="97" spans="1:7" x14ac:dyDescent="0.2">
      <c r="A97" s="57" t="s">
        <v>414</v>
      </c>
      <c r="B97" s="21" t="s">
        <v>225</v>
      </c>
      <c r="C97" s="98" t="s">
        <v>224</v>
      </c>
      <c r="D97" s="94">
        <f>36709.5-11516.9+950.4</f>
        <v>26143</v>
      </c>
      <c r="E97" s="94">
        <v>36709.5</v>
      </c>
      <c r="F97" s="94">
        <v>36709.5</v>
      </c>
      <c r="G97" s="103"/>
    </row>
    <row r="98" spans="1:7" ht="38.25" x14ac:dyDescent="0.2">
      <c r="A98" s="57" t="s">
        <v>697</v>
      </c>
      <c r="B98" s="21"/>
      <c r="C98" s="98" t="s">
        <v>698</v>
      </c>
      <c r="D98" s="94">
        <f>SUM(D99:D102)</f>
        <v>11516.899999999998</v>
      </c>
      <c r="E98" s="94">
        <f t="shared" ref="E98:F98" si="22">SUM(E99:E102)</f>
        <v>0</v>
      </c>
      <c r="F98" s="94">
        <f t="shared" si="22"/>
        <v>0</v>
      </c>
      <c r="G98" s="103"/>
    </row>
    <row r="99" spans="1:7" x14ac:dyDescent="0.2">
      <c r="A99" s="57" t="s">
        <v>697</v>
      </c>
      <c r="B99" s="21" t="s">
        <v>225</v>
      </c>
      <c r="C99" s="98" t="s">
        <v>224</v>
      </c>
      <c r="D99" s="94">
        <f>10799.6+179.3</f>
        <v>10978.9</v>
      </c>
      <c r="E99" s="94">
        <v>0</v>
      </c>
      <c r="F99" s="94">
        <v>0</v>
      </c>
      <c r="G99" s="103"/>
    </row>
    <row r="100" spans="1:7" x14ac:dyDescent="0.2">
      <c r="A100" s="57" t="s">
        <v>697</v>
      </c>
      <c r="B100" s="21" t="s">
        <v>699</v>
      </c>
      <c r="C100" s="98" t="s">
        <v>700</v>
      </c>
      <c r="D100" s="94">
        <v>179.3</v>
      </c>
      <c r="E100" s="94">
        <v>0</v>
      </c>
      <c r="F100" s="94">
        <v>0</v>
      </c>
      <c r="G100" s="103"/>
    </row>
    <row r="101" spans="1:7" ht="63.75" x14ac:dyDescent="0.2">
      <c r="A101" s="57" t="s">
        <v>697</v>
      </c>
      <c r="B101" s="21" t="s">
        <v>19</v>
      </c>
      <c r="C101" s="98" t="s">
        <v>360</v>
      </c>
      <c r="D101" s="94">
        <v>179.3</v>
      </c>
      <c r="E101" s="94">
        <v>0</v>
      </c>
      <c r="F101" s="94">
        <v>0</v>
      </c>
      <c r="G101" s="103"/>
    </row>
    <row r="102" spans="1:7" ht="63.75" x14ac:dyDescent="0.2">
      <c r="A102" s="57" t="s">
        <v>697</v>
      </c>
      <c r="B102" s="21" t="s">
        <v>12</v>
      </c>
      <c r="C102" s="98" t="s">
        <v>365</v>
      </c>
      <c r="D102" s="94">
        <v>179.4</v>
      </c>
      <c r="E102" s="94">
        <v>0</v>
      </c>
      <c r="F102" s="94">
        <v>0</v>
      </c>
      <c r="G102" s="103"/>
    </row>
    <row r="103" spans="1:7" ht="67.5" customHeight="1" x14ac:dyDescent="0.2">
      <c r="A103" s="57" t="s">
        <v>416</v>
      </c>
      <c r="B103" s="21"/>
      <c r="C103" s="98" t="s">
        <v>417</v>
      </c>
      <c r="D103" s="94">
        <f>D104</f>
        <v>13313.699999999999</v>
      </c>
      <c r="E103" s="94">
        <f>E104</f>
        <v>13313.699999999999</v>
      </c>
      <c r="F103" s="94">
        <f>F104</f>
        <v>13313.699999999999</v>
      </c>
      <c r="G103" s="103"/>
    </row>
    <row r="104" spans="1:7" x14ac:dyDescent="0.2">
      <c r="A104" s="57" t="s">
        <v>416</v>
      </c>
      <c r="B104" s="21" t="s">
        <v>225</v>
      </c>
      <c r="C104" s="98" t="s">
        <v>224</v>
      </c>
      <c r="D104" s="132">
        <f>12678.4+635.3</f>
        <v>13313.699999999999</v>
      </c>
      <c r="E104" s="132">
        <f>12678.4+635.3</f>
        <v>13313.699999999999</v>
      </c>
      <c r="F104" s="132">
        <f>12678.4+635.3</f>
        <v>13313.699999999999</v>
      </c>
      <c r="G104" s="103"/>
    </row>
    <row r="105" spans="1:7" ht="66" customHeight="1" x14ac:dyDescent="0.2">
      <c r="A105" s="57" t="s">
        <v>418</v>
      </c>
      <c r="B105" s="57"/>
      <c r="C105" s="98" t="s">
        <v>419</v>
      </c>
      <c r="D105" s="39">
        <f>D106</f>
        <v>128.1</v>
      </c>
      <c r="E105" s="39">
        <f>E106</f>
        <v>128.1</v>
      </c>
      <c r="F105" s="39">
        <f>F106</f>
        <v>128.1</v>
      </c>
      <c r="G105" s="103"/>
    </row>
    <row r="106" spans="1:7" x14ac:dyDescent="0.2">
      <c r="A106" s="21" t="s">
        <v>418</v>
      </c>
      <c r="B106" s="21" t="s">
        <v>225</v>
      </c>
      <c r="C106" s="98" t="s">
        <v>224</v>
      </c>
      <c r="D106" s="41">
        <v>128.1</v>
      </c>
      <c r="E106" s="41">
        <v>128.1</v>
      </c>
      <c r="F106" s="41">
        <v>128.1</v>
      </c>
      <c r="G106" s="103"/>
    </row>
    <row r="107" spans="1:7" ht="25.5" customHeight="1" x14ac:dyDescent="0.2">
      <c r="A107" s="21" t="s">
        <v>421</v>
      </c>
      <c r="B107" s="82"/>
      <c r="C107" s="97" t="s">
        <v>420</v>
      </c>
      <c r="D107" s="41">
        <f>D108+D110+D112</f>
        <v>1195</v>
      </c>
      <c r="E107" s="41">
        <f t="shared" ref="E107:F107" si="23">E108+E110+E112</f>
        <v>1195</v>
      </c>
      <c r="F107" s="41">
        <f t="shared" si="23"/>
        <v>1195</v>
      </c>
      <c r="G107" s="103"/>
    </row>
    <row r="108" spans="1:7" ht="52.5" customHeight="1" x14ac:dyDescent="0.2">
      <c r="A108" s="57" t="s">
        <v>558</v>
      </c>
      <c r="B108" s="21"/>
      <c r="C108" s="108" t="s">
        <v>422</v>
      </c>
      <c r="D108" s="94">
        <f>D109</f>
        <v>795</v>
      </c>
      <c r="E108" s="94">
        <f t="shared" ref="E108:F108" si="24">E109</f>
        <v>795</v>
      </c>
      <c r="F108" s="94">
        <f t="shared" si="24"/>
        <v>795</v>
      </c>
      <c r="G108" s="103"/>
    </row>
    <row r="109" spans="1:7" x14ac:dyDescent="0.2">
      <c r="A109" s="57" t="s">
        <v>558</v>
      </c>
      <c r="B109" s="21" t="s">
        <v>225</v>
      </c>
      <c r="C109" s="98" t="s">
        <v>224</v>
      </c>
      <c r="D109" s="94">
        <v>795</v>
      </c>
      <c r="E109" s="94">
        <v>795</v>
      </c>
      <c r="F109" s="94">
        <v>795</v>
      </c>
      <c r="G109" s="103"/>
    </row>
    <row r="110" spans="1:7" ht="25.5" customHeight="1" x14ac:dyDescent="0.2">
      <c r="A110" s="57" t="s">
        <v>423</v>
      </c>
      <c r="B110" s="21"/>
      <c r="C110" s="98" t="s">
        <v>183</v>
      </c>
      <c r="D110" s="41">
        <f>D111</f>
        <v>250</v>
      </c>
      <c r="E110" s="41">
        <f t="shared" ref="E110:F110" si="25">E111</f>
        <v>250</v>
      </c>
      <c r="F110" s="41">
        <f t="shared" si="25"/>
        <v>250</v>
      </c>
      <c r="G110" s="103"/>
    </row>
    <row r="111" spans="1:7" x14ac:dyDescent="0.2">
      <c r="A111" s="57" t="s">
        <v>423</v>
      </c>
      <c r="B111" s="21" t="s">
        <v>225</v>
      </c>
      <c r="C111" s="98" t="s">
        <v>224</v>
      </c>
      <c r="D111" s="41">
        <v>250</v>
      </c>
      <c r="E111" s="41">
        <v>250</v>
      </c>
      <c r="F111" s="41">
        <v>250</v>
      </c>
      <c r="G111" s="103"/>
    </row>
    <row r="112" spans="1:7" ht="27" customHeight="1" x14ac:dyDescent="0.2">
      <c r="A112" s="57" t="s">
        <v>424</v>
      </c>
      <c r="B112" s="21"/>
      <c r="C112" s="98" t="s">
        <v>425</v>
      </c>
      <c r="D112" s="41">
        <f>D113</f>
        <v>150</v>
      </c>
      <c r="E112" s="41">
        <f t="shared" ref="E112:F112" si="26">E113</f>
        <v>150</v>
      </c>
      <c r="F112" s="41">
        <f t="shared" si="26"/>
        <v>150</v>
      </c>
      <c r="G112" s="103"/>
    </row>
    <row r="113" spans="1:7" x14ac:dyDescent="0.2">
      <c r="A113" s="57" t="s">
        <v>424</v>
      </c>
      <c r="B113" s="21" t="s">
        <v>225</v>
      </c>
      <c r="C113" s="98" t="s">
        <v>224</v>
      </c>
      <c r="D113" s="41">
        <v>150</v>
      </c>
      <c r="E113" s="41">
        <v>150</v>
      </c>
      <c r="F113" s="41">
        <v>150</v>
      </c>
      <c r="G113" s="103"/>
    </row>
    <row r="114" spans="1:7" ht="26.25" customHeight="1" x14ac:dyDescent="0.2">
      <c r="A114" s="52" t="s">
        <v>427</v>
      </c>
      <c r="B114" s="82"/>
      <c r="C114" s="46" t="s">
        <v>426</v>
      </c>
      <c r="D114" s="41">
        <f>D115+D122+D129+D139</f>
        <v>2681.8999999999996</v>
      </c>
      <c r="E114" s="41">
        <f t="shared" ref="E114:F114" si="27">E115+E122+E129+E139</f>
        <v>2561.8000000000002</v>
      </c>
      <c r="F114" s="41">
        <f t="shared" si="27"/>
        <v>2561.8000000000002</v>
      </c>
      <c r="G114" s="103"/>
    </row>
    <row r="115" spans="1:7" ht="26.25" customHeight="1" x14ac:dyDescent="0.2">
      <c r="A115" s="21" t="s">
        <v>428</v>
      </c>
      <c r="B115" s="21"/>
      <c r="C115" s="97" t="s">
        <v>466</v>
      </c>
      <c r="D115" s="41">
        <f>D116+D118+D120</f>
        <v>303.89999999999998</v>
      </c>
      <c r="E115" s="41">
        <f>E116+E118+E120</f>
        <v>303.89999999999998</v>
      </c>
      <c r="F115" s="41">
        <f>F116+F118+F120</f>
        <v>303.89999999999998</v>
      </c>
      <c r="G115" s="103"/>
    </row>
    <row r="116" spans="1:7" ht="38.25" x14ac:dyDescent="0.2">
      <c r="A116" s="21" t="s">
        <v>556</v>
      </c>
      <c r="B116" s="16"/>
      <c r="C116" s="97" t="s">
        <v>429</v>
      </c>
      <c r="D116" s="39">
        <f>D117</f>
        <v>141.69999999999999</v>
      </c>
      <c r="E116" s="39">
        <f>E117</f>
        <v>141.69999999999999</v>
      </c>
      <c r="F116" s="39">
        <f>F117</f>
        <v>141.69999999999999</v>
      </c>
      <c r="G116" s="103"/>
    </row>
    <row r="117" spans="1:7" x14ac:dyDescent="0.2">
      <c r="A117" s="21" t="s">
        <v>556</v>
      </c>
      <c r="B117" s="82" t="s">
        <v>355</v>
      </c>
      <c r="C117" s="98" t="s">
        <v>356</v>
      </c>
      <c r="D117" s="41">
        <v>141.69999999999999</v>
      </c>
      <c r="E117" s="41">
        <v>141.69999999999999</v>
      </c>
      <c r="F117" s="41">
        <v>141.69999999999999</v>
      </c>
      <c r="G117" s="103"/>
    </row>
    <row r="118" spans="1:7" ht="39.75" customHeight="1" x14ac:dyDescent="0.2">
      <c r="A118" s="57" t="s">
        <v>557</v>
      </c>
      <c r="B118" s="16"/>
      <c r="C118" s="98" t="s">
        <v>49</v>
      </c>
      <c r="D118" s="41">
        <f>D119</f>
        <v>112.2</v>
      </c>
      <c r="E118" s="41">
        <f>E119</f>
        <v>112.2</v>
      </c>
      <c r="F118" s="41">
        <f>F119</f>
        <v>112.2</v>
      </c>
      <c r="G118" s="103"/>
    </row>
    <row r="119" spans="1:7" ht="38.25" x14ac:dyDescent="0.2">
      <c r="A119" s="57" t="s">
        <v>557</v>
      </c>
      <c r="B119" s="82" t="s">
        <v>211</v>
      </c>
      <c r="C119" s="98" t="s">
        <v>212</v>
      </c>
      <c r="D119" s="41">
        <v>112.2</v>
      </c>
      <c r="E119" s="41">
        <v>112.2</v>
      </c>
      <c r="F119" s="41">
        <v>112.2</v>
      </c>
      <c r="G119" s="103"/>
    </row>
    <row r="120" spans="1:7" ht="66" customHeight="1" x14ac:dyDescent="0.2">
      <c r="A120" s="57" t="s">
        <v>552</v>
      </c>
      <c r="B120" s="16"/>
      <c r="C120" s="98" t="s">
        <v>430</v>
      </c>
      <c r="D120" s="41">
        <f>D121</f>
        <v>50</v>
      </c>
      <c r="E120" s="41">
        <f>E121</f>
        <v>50</v>
      </c>
      <c r="F120" s="41">
        <f>F121</f>
        <v>50</v>
      </c>
      <c r="G120" s="103"/>
    </row>
    <row r="121" spans="1:7" x14ac:dyDescent="0.2">
      <c r="A121" s="57" t="s">
        <v>552</v>
      </c>
      <c r="B121" s="21" t="s">
        <v>225</v>
      </c>
      <c r="C121" s="98" t="s">
        <v>224</v>
      </c>
      <c r="D121" s="41">
        <v>50</v>
      </c>
      <c r="E121" s="41">
        <v>50</v>
      </c>
      <c r="F121" s="41">
        <v>50</v>
      </c>
      <c r="G121" s="103"/>
    </row>
    <row r="122" spans="1:7" ht="38.25" x14ac:dyDescent="0.2">
      <c r="A122" s="21" t="s">
        <v>431</v>
      </c>
      <c r="B122" s="21"/>
      <c r="C122" s="97" t="s">
        <v>738</v>
      </c>
      <c r="D122" s="39">
        <f>D123+D125+D127</f>
        <v>1240.2</v>
      </c>
      <c r="E122" s="39">
        <f>E123+E125+E127</f>
        <v>1177</v>
      </c>
      <c r="F122" s="39">
        <f>F123+F125+F127</f>
        <v>1177</v>
      </c>
      <c r="G122" s="103"/>
    </row>
    <row r="123" spans="1:7" ht="42.75" customHeight="1" x14ac:dyDescent="0.2">
      <c r="A123" s="57" t="s">
        <v>553</v>
      </c>
      <c r="B123" s="16"/>
      <c r="C123" s="98" t="s">
        <v>44</v>
      </c>
      <c r="D123" s="41">
        <f>D124</f>
        <v>193.2</v>
      </c>
      <c r="E123" s="41">
        <f>E124</f>
        <v>130</v>
      </c>
      <c r="F123" s="41">
        <f>F124</f>
        <v>130</v>
      </c>
      <c r="G123" s="103"/>
    </row>
    <row r="124" spans="1:7" x14ac:dyDescent="0.2">
      <c r="A124" s="57" t="s">
        <v>553</v>
      </c>
      <c r="B124" s="21" t="s">
        <v>225</v>
      </c>
      <c r="C124" s="98" t="s">
        <v>224</v>
      </c>
      <c r="D124" s="94">
        <f>193.2-63.2-25.8+89</f>
        <v>193.2</v>
      </c>
      <c r="E124" s="94">
        <f>193.2-63.2</f>
        <v>130</v>
      </c>
      <c r="F124" s="94">
        <f>193.2-63.2</f>
        <v>130</v>
      </c>
      <c r="G124" s="103"/>
    </row>
    <row r="125" spans="1:7" ht="42" customHeight="1" x14ac:dyDescent="0.2">
      <c r="A125" s="57" t="s">
        <v>554</v>
      </c>
      <c r="B125" s="16"/>
      <c r="C125" s="54" t="s">
        <v>511</v>
      </c>
      <c r="D125" s="94">
        <f>D126</f>
        <v>75</v>
      </c>
      <c r="E125" s="94">
        <f>E126</f>
        <v>75</v>
      </c>
      <c r="F125" s="94">
        <f>F126</f>
        <v>75</v>
      </c>
      <c r="G125" s="103"/>
    </row>
    <row r="126" spans="1:7" x14ac:dyDescent="0.2">
      <c r="A126" s="57" t="s">
        <v>554</v>
      </c>
      <c r="B126" s="21" t="s">
        <v>225</v>
      </c>
      <c r="C126" s="98" t="s">
        <v>224</v>
      </c>
      <c r="D126" s="94">
        <v>75</v>
      </c>
      <c r="E126" s="94">
        <v>75</v>
      </c>
      <c r="F126" s="94">
        <v>75</v>
      </c>
      <c r="G126" s="103"/>
    </row>
    <row r="127" spans="1:7" ht="91.5" customHeight="1" x14ac:dyDescent="0.2">
      <c r="A127" s="80">
        <v>140210560</v>
      </c>
      <c r="B127" s="82"/>
      <c r="C127" s="98" t="s">
        <v>182</v>
      </c>
      <c r="D127" s="41">
        <f>D128</f>
        <v>972</v>
      </c>
      <c r="E127" s="41">
        <f>E128</f>
        <v>972</v>
      </c>
      <c r="F127" s="41">
        <f>F128</f>
        <v>972</v>
      </c>
      <c r="G127" s="103"/>
    </row>
    <row r="128" spans="1:7" ht="25.5" x14ac:dyDescent="0.2">
      <c r="A128" s="80">
        <v>140210560</v>
      </c>
      <c r="B128" s="82" t="s">
        <v>279</v>
      </c>
      <c r="C128" s="98" t="s">
        <v>280</v>
      </c>
      <c r="D128" s="41">
        <f>1026-54</f>
        <v>972</v>
      </c>
      <c r="E128" s="41">
        <f t="shared" ref="E128:F128" si="28">1026-54</f>
        <v>972</v>
      </c>
      <c r="F128" s="41">
        <f t="shared" si="28"/>
        <v>972</v>
      </c>
      <c r="G128" s="103"/>
    </row>
    <row r="129" spans="1:7" ht="37.5" customHeight="1" x14ac:dyDescent="0.2">
      <c r="A129" s="21" t="s">
        <v>433</v>
      </c>
      <c r="B129" s="21"/>
      <c r="C129" s="108" t="s">
        <v>739</v>
      </c>
      <c r="D129" s="41">
        <f>D130+D132+D135+D137</f>
        <v>1087.8</v>
      </c>
      <c r="E129" s="41">
        <f>E130+E132+E135+E137</f>
        <v>1080.9000000000001</v>
      </c>
      <c r="F129" s="41">
        <f>F130+F132+F135+F137</f>
        <v>1080.9000000000001</v>
      </c>
      <c r="G129" s="103"/>
    </row>
    <row r="130" spans="1:7" ht="63" customHeight="1" x14ac:dyDescent="0.2">
      <c r="A130" s="80">
        <v>140323020</v>
      </c>
      <c r="B130" s="82"/>
      <c r="C130" s="98" t="s">
        <v>133</v>
      </c>
      <c r="D130" s="41">
        <f>D131</f>
        <v>304.5</v>
      </c>
      <c r="E130" s="41">
        <f>E131</f>
        <v>297.60000000000002</v>
      </c>
      <c r="F130" s="41">
        <f>F131</f>
        <v>297.60000000000002</v>
      </c>
      <c r="G130" s="103"/>
    </row>
    <row r="131" spans="1:7" ht="38.25" x14ac:dyDescent="0.2">
      <c r="A131" s="80">
        <v>140323020</v>
      </c>
      <c r="B131" s="82" t="s">
        <v>211</v>
      </c>
      <c r="C131" s="98" t="s">
        <v>212</v>
      </c>
      <c r="D131" s="41">
        <f>297.6+6.9</f>
        <v>304.5</v>
      </c>
      <c r="E131" s="41">
        <v>297.60000000000002</v>
      </c>
      <c r="F131" s="41">
        <v>297.60000000000002</v>
      </c>
      <c r="G131" s="103"/>
    </row>
    <row r="132" spans="1:7" ht="68.25" customHeight="1" x14ac:dyDescent="0.2">
      <c r="A132" s="80">
        <v>140323025</v>
      </c>
      <c r="B132" s="82"/>
      <c r="C132" s="98" t="s">
        <v>740</v>
      </c>
      <c r="D132" s="41">
        <f>SUM(D133:D134)</f>
        <v>479.3</v>
      </c>
      <c r="E132" s="41">
        <f t="shared" ref="E132:F132" si="29">SUM(E133:E134)</f>
        <v>479.3</v>
      </c>
      <c r="F132" s="41">
        <f t="shared" si="29"/>
        <v>479.3</v>
      </c>
      <c r="G132" s="103"/>
    </row>
    <row r="133" spans="1:7" ht="42" customHeight="1" x14ac:dyDescent="0.2">
      <c r="A133" s="80">
        <v>140323025</v>
      </c>
      <c r="B133" s="82" t="s">
        <v>211</v>
      </c>
      <c r="C133" s="98" t="s">
        <v>212</v>
      </c>
      <c r="D133" s="41">
        <v>444.3</v>
      </c>
      <c r="E133" s="41">
        <v>444.3</v>
      </c>
      <c r="F133" s="41">
        <v>444.3</v>
      </c>
      <c r="G133" s="103"/>
    </row>
    <row r="134" spans="1:7" x14ac:dyDescent="0.2">
      <c r="A134" s="80">
        <v>140323025</v>
      </c>
      <c r="B134" s="82" t="s">
        <v>632</v>
      </c>
      <c r="C134" s="98" t="s">
        <v>633</v>
      </c>
      <c r="D134" s="41">
        <v>35</v>
      </c>
      <c r="E134" s="41">
        <v>35</v>
      </c>
      <c r="F134" s="41">
        <v>35</v>
      </c>
      <c r="G134" s="103"/>
    </row>
    <row r="135" spans="1:7" ht="54.75" customHeight="1" x14ac:dyDescent="0.2">
      <c r="A135" s="80" t="s">
        <v>434</v>
      </c>
      <c r="B135" s="82"/>
      <c r="C135" s="98" t="s">
        <v>435</v>
      </c>
      <c r="D135" s="41">
        <f>D136</f>
        <v>153.19999999999999</v>
      </c>
      <c r="E135" s="41">
        <f>E136</f>
        <v>153.19999999999999</v>
      </c>
      <c r="F135" s="41">
        <f>F136</f>
        <v>153.19999999999999</v>
      </c>
      <c r="G135" s="103"/>
    </row>
    <row r="136" spans="1:7" ht="38.25" x14ac:dyDescent="0.2">
      <c r="A136" s="80" t="s">
        <v>434</v>
      </c>
      <c r="B136" s="82" t="s">
        <v>211</v>
      </c>
      <c r="C136" s="98" t="s">
        <v>212</v>
      </c>
      <c r="D136" s="41">
        <f>90+63.2</f>
        <v>153.19999999999999</v>
      </c>
      <c r="E136" s="41">
        <f>90+63.2</f>
        <v>153.19999999999999</v>
      </c>
      <c r="F136" s="41">
        <f>90+63.2</f>
        <v>153.19999999999999</v>
      </c>
      <c r="G136" s="103"/>
    </row>
    <row r="137" spans="1:7" ht="26.25" customHeight="1" x14ac:dyDescent="0.2">
      <c r="A137" s="80">
        <v>140311080</v>
      </c>
      <c r="B137" s="82"/>
      <c r="C137" s="98" t="s">
        <v>436</v>
      </c>
      <c r="D137" s="41">
        <f>D138</f>
        <v>150.80000000000001</v>
      </c>
      <c r="E137" s="41">
        <f>E138</f>
        <v>150.80000000000001</v>
      </c>
      <c r="F137" s="41">
        <f>F138</f>
        <v>150.80000000000001</v>
      </c>
      <c r="G137" s="103"/>
    </row>
    <row r="138" spans="1:7" ht="38.25" x14ac:dyDescent="0.2">
      <c r="A138" s="80">
        <v>140311080</v>
      </c>
      <c r="B138" s="82" t="s">
        <v>211</v>
      </c>
      <c r="C138" s="98" t="s">
        <v>212</v>
      </c>
      <c r="D138" s="39">
        <v>150.80000000000001</v>
      </c>
      <c r="E138" s="39">
        <v>150.80000000000001</v>
      </c>
      <c r="F138" s="39">
        <v>150.80000000000001</v>
      </c>
      <c r="G138" s="103"/>
    </row>
    <row r="139" spans="1:7" ht="25.5" x14ac:dyDescent="0.2">
      <c r="A139" s="21" t="s">
        <v>754</v>
      </c>
      <c r="B139" s="82"/>
      <c r="C139" s="174" t="s">
        <v>755</v>
      </c>
      <c r="D139" s="39">
        <f>D140</f>
        <v>50</v>
      </c>
      <c r="E139" s="39">
        <f t="shared" ref="E139:F139" si="30">E140</f>
        <v>0</v>
      </c>
      <c r="F139" s="39">
        <f t="shared" si="30"/>
        <v>0</v>
      </c>
      <c r="G139" s="103"/>
    </row>
    <row r="140" spans="1:7" ht="51" x14ac:dyDescent="0.2">
      <c r="A140" s="21" t="s">
        <v>752</v>
      </c>
      <c r="B140" s="82"/>
      <c r="C140" s="130" t="s">
        <v>753</v>
      </c>
      <c r="D140" s="39">
        <f>D141</f>
        <v>50</v>
      </c>
      <c r="E140" s="39">
        <v>0</v>
      </c>
      <c r="F140" s="39">
        <v>0</v>
      </c>
      <c r="G140" s="103"/>
    </row>
    <row r="141" spans="1:7" ht="38.25" x14ac:dyDescent="0.2">
      <c r="A141" s="21" t="s">
        <v>752</v>
      </c>
      <c r="B141" s="82" t="s">
        <v>211</v>
      </c>
      <c r="C141" s="98" t="s">
        <v>212</v>
      </c>
      <c r="D141" s="39">
        <v>50</v>
      </c>
      <c r="E141" s="39">
        <v>0</v>
      </c>
      <c r="F141" s="39">
        <v>0</v>
      </c>
      <c r="G141" s="103"/>
    </row>
    <row r="142" spans="1:7" x14ac:dyDescent="0.2">
      <c r="A142" s="52" t="s">
        <v>76</v>
      </c>
      <c r="B142" s="16"/>
      <c r="C142" s="66" t="s">
        <v>46</v>
      </c>
      <c r="D142" s="41">
        <f>D143</f>
        <v>9055.9</v>
      </c>
      <c r="E142" s="41">
        <f>E143</f>
        <v>8745.1999999999989</v>
      </c>
      <c r="F142" s="41">
        <f>F143</f>
        <v>8745.1999999999989</v>
      </c>
      <c r="G142" s="103"/>
    </row>
    <row r="143" spans="1:7" ht="51" customHeight="1" x14ac:dyDescent="0.2">
      <c r="A143" s="80">
        <v>190022200</v>
      </c>
      <c r="B143" s="82"/>
      <c r="C143" s="98" t="s">
        <v>437</v>
      </c>
      <c r="D143" s="41">
        <f>SUM(D144:D146)</f>
        <v>9055.9</v>
      </c>
      <c r="E143" s="41">
        <f>SUM(E144:E145)</f>
        <v>8745.1999999999989</v>
      </c>
      <c r="F143" s="41">
        <f>SUM(F144:F145)</f>
        <v>8745.1999999999989</v>
      </c>
      <c r="G143" s="103"/>
    </row>
    <row r="144" spans="1:7" ht="25.5" x14ac:dyDescent="0.2">
      <c r="A144" s="80">
        <v>190022200</v>
      </c>
      <c r="B144" s="16" t="s">
        <v>62</v>
      </c>
      <c r="C144" s="55" t="s">
        <v>63</v>
      </c>
      <c r="D144" s="41">
        <f>8258.3+301.7</f>
        <v>8560</v>
      </c>
      <c r="E144" s="41">
        <v>8258.2999999999993</v>
      </c>
      <c r="F144" s="41">
        <v>8258.2999999999993</v>
      </c>
      <c r="G144" s="103"/>
    </row>
    <row r="145" spans="1:7" ht="38.25" x14ac:dyDescent="0.2">
      <c r="A145" s="80">
        <v>190022200</v>
      </c>
      <c r="B145" s="82" t="s">
        <v>211</v>
      </c>
      <c r="C145" s="98" t="s">
        <v>212</v>
      </c>
      <c r="D145" s="41">
        <v>486.9</v>
      </c>
      <c r="E145" s="41">
        <v>486.9</v>
      </c>
      <c r="F145" s="41">
        <v>486.9</v>
      </c>
      <c r="G145" s="103"/>
    </row>
    <row r="146" spans="1:7" ht="24" customHeight="1" x14ac:dyDescent="0.2">
      <c r="A146" s="80">
        <v>190022200</v>
      </c>
      <c r="B146" s="82" t="s">
        <v>260</v>
      </c>
      <c r="C146" s="98" t="s">
        <v>249</v>
      </c>
      <c r="D146" s="41">
        <v>9</v>
      </c>
      <c r="E146" s="41">
        <v>0</v>
      </c>
      <c r="F146" s="41">
        <v>0</v>
      </c>
      <c r="G146" s="103"/>
    </row>
    <row r="147" spans="1:7" ht="78" customHeight="1" x14ac:dyDescent="0.25">
      <c r="A147" s="73" t="s">
        <v>59</v>
      </c>
      <c r="B147" s="35"/>
      <c r="C147" s="53" t="s">
        <v>572</v>
      </c>
      <c r="D147" s="65">
        <f>D148+D192+D202+D220</f>
        <v>143544.1</v>
      </c>
      <c r="E147" s="65">
        <f>E148+E192+E202+E220</f>
        <v>109112.70000000001</v>
      </c>
      <c r="F147" s="65">
        <f>F148+F192+F202+F220</f>
        <v>110312.70000000001</v>
      </c>
      <c r="G147" s="103"/>
    </row>
    <row r="148" spans="1:7" ht="25.5" x14ac:dyDescent="0.2">
      <c r="A148" s="21" t="s">
        <v>60</v>
      </c>
      <c r="B148" s="35"/>
      <c r="C148" s="48" t="s">
        <v>171</v>
      </c>
      <c r="D148" s="58">
        <f>D149+D164+D171+D178+D181+D184+D187</f>
        <v>121008.4</v>
      </c>
      <c r="E148" s="58">
        <f>E149+E164+E171+E178+E181+E184+E187</f>
        <v>97274.700000000012</v>
      </c>
      <c r="F148" s="58">
        <f>F149+F164+F171+F178+F181+F184+F187</f>
        <v>98474.700000000012</v>
      </c>
      <c r="G148" s="103"/>
    </row>
    <row r="149" spans="1:7" ht="38.25" x14ac:dyDescent="0.2">
      <c r="A149" s="21" t="s">
        <v>208</v>
      </c>
      <c r="B149" s="35"/>
      <c r="C149" s="101" t="s">
        <v>213</v>
      </c>
      <c r="D149" s="94">
        <f>D150+D154+D156+D159+D162</f>
        <v>83159.299999999988</v>
      </c>
      <c r="E149" s="94">
        <f t="shared" ref="E149:F149" si="31">E150+E154+E156+E159+E162</f>
        <v>78693.100000000006</v>
      </c>
      <c r="F149" s="94">
        <f t="shared" si="31"/>
        <v>79893.100000000006</v>
      </c>
      <c r="G149" s="103"/>
    </row>
    <row r="150" spans="1:7" ht="25.5" x14ac:dyDescent="0.2">
      <c r="A150" s="74">
        <v>210122900</v>
      </c>
      <c r="B150" s="16"/>
      <c r="C150" s="99" t="s">
        <v>170</v>
      </c>
      <c r="D150" s="39">
        <f>D151+D152+D153</f>
        <v>12425.1</v>
      </c>
      <c r="E150" s="39">
        <f t="shared" ref="E150:F150" si="32">E151+E152+E153</f>
        <v>11826</v>
      </c>
      <c r="F150" s="39">
        <f t="shared" si="32"/>
        <v>11826</v>
      </c>
      <c r="G150" s="103"/>
    </row>
    <row r="151" spans="1:7" ht="25.5" x14ac:dyDescent="0.2">
      <c r="A151" s="74">
        <v>210122900</v>
      </c>
      <c r="B151" s="82" t="s">
        <v>64</v>
      </c>
      <c r="C151" s="55" t="s">
        <v>130</v>
      </c>
      <c r="D151" s="39">
        <f>5295.8-160.5-13.7</f>
        <v>5121.6000000000004</v>
      </c>
      <c r="E151" s="39">
        <f>5295.8-13.7</f>
        <v>5282.1</v>
      </c>
      <c r="F151" s="39">
        <f>5295.8-13.7</f>
        <v>5282.1</v>
      </c>
      <c r="G151" s="103"/>
    </row>
    <row r="152" spans="1:7" ht="38.25" x14ac:dyDescent="0.2">
      <c r="A152" s="74">
        <v>210122900</v>
      </c>
      <c r="B152" s="82" t="s">
        <v>211</v>
      </c>
      <c r="C152" s="98" t="s">
        <v>212</v>
      </c>
      <c r="D152" s="39">
        <f>6543.9-13.4-1+612.5+1</f>
        <v>7143</v>
      </c>
      <c r="E152" s="39">
        <v>6543.9</v>
      </c>
      <c r="F152" s="39">
        <v>6543.9</v>
      </c>
      <c r="G152" s="103"/>
    </row>
    <row r="153" spans="1:7" ht="26.25" customHeight="1" x14ac:dyDescent="0.2">
      <c r="A153" s="74">
        <v>210122900</v>
      </c>
      <c r="B153" s="82" t="s">
        <v>260</v>
      </c>
      <c r="C153" s="98" t="s">
        <v>249</v>
      </c>
      <c r="D153" s="39">
        <v>160.5</v>
      </c>
      <c r="E153" s="39">
        <v>0</v>
      </c>
      <c r="F153" s="39">
        <v>0</v>
      </c>
      <c r="G153" s="103"/>
    </row>
    <row r="154" spans="1:7" ht="51" x14ac:dyDescent="0.2">
      <c r="A154" s="74">
        <v>210121100</v>
      </c>
      <c r="B154" s="16"/>
      <c r="C154" s="99" t="s">
        <v>172</v>
      </c>
      <c r="D154" s="39">
        <f>D155</f>
        <v>34927.299999999996</v>
      </c>
      <c r="E154" s="39">
        <f>E155</f>
        <v>31173.600000000002</v>
      </c>
      <c r="F154" s="39">
        <f>F155</f>
        <v>32373.600000000002</v>
      </c>
      <c r="G154" s="103"/>
    </row>
    <row r="155" spans="1:7" x14ac:dyDescent="0.2">
      <c r="A155" s="74">
        <v>210121100</v>
      </c>
      <c r="B155" s="21" t="s">
        <v>225</v>
      </c>
      <c r="C155" s="98" t="s">
        <v>224</v>
      </c>
      <c r="D155" s="39">
        <f>34169.2+1174.4-1000-16.3+600</f>
        <v>34927.299999999996</v>
      </c>
      <c r="E155" s="1">
        <f>31189.9-16.3</f>
        <v>31173.600000000002</v>
      </c>
      <c r="F155" s="1">
        <f>32389.9-16.3</f>
        <v>32373.600000000002</v>
      </c>
      <c r="G155" s="103"/>
    </row>
    <row r="156" spans="1:7" ht="38.25" x14ac:dyDescent="0.2">
      <c r="A156" s="74" t="s">
        <v>438</v>
      </c>
      <c r="B156" s="82"/>
      <c r="C156" s="98" t="s">
        <v>313</v>
      </c>
      <c r="D156" s="39">
        <f>SUM(D157:D158)</f>
        <v>357</v>
      </c>
      <c r="E156" s="39">
        <f>SUM(E157:E158)</f>
        <v>357</v>
      </c>
      <c r="F156" s="39">
        <f>SUM(F157:F158)</f>
        <v>357</v>
      </c>
      <c r="G156" s="103"/>
    </row>
    <row r="157" spans="1:7" ht="25.5" x14ac:dyDescent="0.2">
      <c r="A157" s="74" t="s">
        <v>438</v>
      </c>
      <c r="B157" s="82" t="s">
        <v>64</v>
      </c>
      <c r="C157" s="55" t="s">
        <v>130</v>
      </c>
      <c r="D157" s="39">
        <f>95+13.7</f>
        <v>108.7</v>
      </c>
      <c r="E157" s="39">
        <f t="shared" ref="E157:F157" si="33">95+13.7</f>
        <v>108.7</v>
      </c>
      <c r="F157" s="39">
        <f t="shared" si="33"/>
        <v>108.7</v>
      </c>
      <c r="G157" s="103"/>
    </row>
    <row r="158" spans="1:7" x14ac:dyDescent="0.2">
      <c r="A158" s="74" t="s">
        <v>438</v>
      </c>
      <c r="B158" s="21" t="s">
        <v>225</v>
      </c>
      <c r="C158" s="98" t="s">
        <v>224</v>
      </c>
      <c r="D158" s="39">
        <f>232+16.3</f>
        <v>248.3</v>
      </c>
      <c r="E158" s="39">
        <f t="shared" ref="E158:F158" si="34">232+16.3</f>
        <v>248.3</v>
      </c>
      <c r="F158" s="39">
        <f t="shared" si="34"/>
        <v>248.3</v>
      </c>
      <c r="G158" s="103"/>
    </row>
    <row r="159" spans="1:7" ht="51" x14ac:dyDescent="0.2">
      <c r="A159" s="74">
        <v>210110680</v>
      </c>
      <c r="B159" s="82"/>
      <c r="C159" s="98" t="s">
        <v>351</v>
      </c>
      <c r="D159" s="39">
        <f>SUM(D160:D161)</f>
        <v>35336.5</v>
      </c>
      <c r="E159" s="39">
        <f t="shared" ref="E159:F159" si="35">SUM(E160:E161)</f>
        <v>35336.5</v>
      </c>
      <c r="F159" s="39">
        <f t="shared" si="35"/>
        <v>35336.5</v>
      </c>
      <c r="G159" s="103"/>
    </row>
    <row r="160" spans="1:7" ht="25.5" x14ac:dyDescent="0.2">
      <c r="A160" s="74">
        <v>210110680</v>
      </c>
      <c r="B160" s="82" t="s">
        <v>64</v>
      </c>
      <c r="C160" s="55" t="s">
        <v>130</v>
      </c>
      <c r="D160" s="39">
        <f>9388.4+1377.5</f>
        <v>10765.9</v>
      </c>
      <c r="E160" s="39">
        <f t="shared" ref="E160:F160" si="36">9388.4+1377.5</f>
        <v>10765.9</v>
      </c>
      <c r="F160" s="39">
        <f t="shared" si="36"/>
        <v>10765.9</v>
      </c>
      <c r="G160" s="103"/>
    </row>
    <row r="161" spans="1:7" x14ac:dyDescent="0.2">
      <c r="A161" s="74">
        <v>210110680</v>
      </c>
      <c r="B161" s="21" t="s">
        <v>225</v>
      </c>
      <c r="C161" s="98" t="s">
        <v>224</v>
      </c>
      <c r="D161" s="39">
        <f>22918.8+1651.8</f>
        <v>24570.6</v>
      </c>
      <c r="E161" s="39">
        <f t="shared" ref="E161:F161" si="37">22918.8+1651.8</f>
        <v>24570.6</v>
      </c>
      <c r="F161" s="39">
        <f t="shared" si="37"/>
        <v>24570.6</v>
      </c>
      <c r="G161" s="103"/>
    </row>
    <row r="162" spans="1:7" ht="76.5" x14ac:dyDescent="0.2">
      <c r="A162" s="74" t="s">
        <v>746</v>
      </c>
      <c r="B162" s="21"/>
      <c r="C162" s="172" t="s">
        <v>747</v>
      </c>
      <c r="D162" s="39">
        <f>D163</f>
        <v>113.4</v>
      </c>
      <c r="E162" s="39">
        <v>0</v>
      </c>
      <c r="F162" s="39">
        <v>0</v>
      </c>
      <c r="G162" s="103"/>
    </row>
    <row r="163" spans="1:7" ht="38.25" x14ac:dyDescent="0.2">
      <c r="A163" s="74" t="s">
        <v>746</v>
      </c>
      <c r="B163" s="21" t="s">
        <v>211</v>
      </c>
      <c r="C163" s="98" t="s">
        <v>212</v>
      </c>
      <c r="D163" s="39">
        <f>13.4+100</f>
        <v>113.4</v>
      </c>
      <c r="E163" s="39">
        <v>0</v>
      </c>
      <c r="F163" s="39">
        <v>0</v>
      </c>
      <c r="G163" s="103"/>
    </row>
    <row r="164" spans="1:7" ht="25.5" x14ac:dyDescent="0.2">
      <c r="A164" s="72" t="s">
        <v>252</v>
      </c>
      <c r="B164" s="72"/>
      <c r="C164" s="164" t="s">
        <v>439</v>
      </c>
      <c r="D164" s="165">
        <f>D165+D167+D169</f>
        <v>18671.600000000002</v>
      </c>
      <c r="E164" s="165">
        <f t="shared" ref="E164:F164" si="38">E165+E167+E169</f>
        <v>17971.600000000002</v>
      </c>
      <c r="F164" s="165">
        <f t="shared" si="38"/>
        <v>17971.600000000002</v>
      </c>
      <c r="G164" s="103"/>
    </row>
    <row r="165" spans="1:7" ht="25.5" x14ac:dyDescent="0.2">
      <c r="A165" s="74">
        <v>210221100</v>
      </c>
      <c r="B165" s="16"/>
      <c r="C165" s="99" t="s">
        <v>173</v>
      </c>
      <c r="D165" s="39">
        <f>D166</f>
        <v>12164</v>
      </c>
      <c r="E165" s="39">
        <f>E166</f>
        <v>11464</v>
      </c>
      <c r="F165" s="39">
        <f>F166</f>
        <v>11464</v>
      </c>
      <c r="G165" s="103"/>
    </row>
    <row r="166" spans="1:7" x14ac:dyDescent="0.2">
      <c r="A166" s="74">
        <v>210221100</v>
      </c>
      <c r="B166" s="21" t="s">
        <v>225</v>
      </c>
      <c r="C166" s="98" t="s">
        <v>224</v>
      </c>
      <c r="D166" s="39">
        <f>11484.2+700-20.2</f>
        <v>12164</v>
      </c>
      <c r="E166" s="39">
        <f>11484.2-20.2</f>
        <v>11464</v>
      </c>
      <c r="F166" s="39">
        <f>11484.2-20.2</f>
        <v>11464</v>
      </c>
      <c r="G166" s="103"/>
    </row>
    <row r="167" spans="1:7" ht="63.75" x14ac:dyDescent="0.2">
      <c r="A167" s="74">
        <v>210210690</v>
      </c>
      <c r="B167" s="21"/>
      <c r="C167" s="98" t="s">
        <v>314</v>
      </c>
      <c r="D167" s="39">
        <f>D168</f>
        <v>6436.2</v>
      </c>
      <c r="E167" s="39">
        <f>E168</f>
        <v>6436.2</v>
      </c>
      <c r="F167" s="39">
        <f>F168</f>
        <v>6436.2</v>
      </c>
      <c r="G167" s="103"/>
    </row>
    <row r="168" spans="1:7" x14ac:dyDescent="0.2">
      <c r="A168" s="74">
        <v>210210690</v>
      </c>
      <c r="B168" s="21" t="s">
        <v>225</v>
      </c>
      <c r="C168" s="98" t="s">
        <v>224</v>
      </c>
      <c r="D168" s="132">
        <f>5071.4+1364.8</f>
        <v>6436.2</v>
      </c>
      <c r="E168" s="132">
        <f t="shared" ref="E168:F168" si="39">5071.4+1364.8</f>
        <v>6436.2</v>
      </c>
      <c r="F168" s="132">
        <f t="shared" si="39"/>
        <v>6436.2</v>
      </c>
      <c r="G168" s="103"/>
    </row>
    <row r="169" spans="1:7" ht="51" x14ac:dyDescent="0.2">
      <c r="A169" s="74" t="s">
        <v>440</v>
      </c>
      <c r="B169" s="82"/>
      <c r="C169" s="98" t="s">
        <v>315</v>
      </c>
      <c r="D169" s="39">
        <f>SUM(D170:D170)</f>
        <v>71.400000000000006</v>
      </c>
      <c r="E169" s="39">
        <f>SUM(E170:E170)</f>
        <v>71.400000000000006</v>
      </c>
      <c r="F169" s="39">
        <f>SUM(F170:F170)</f>
        <v>71.400000000000006</v>
      </c>
      <c r="G169" s="103"/>
    </row>
    <row r="170" spans="1:7" x14ac:dyDescent="0.2">
      <c r="A170" s="74" t="s">
        <v>440</v>
      </c>
      <c r="B170" s="21" t="s">
        <v>225</v>
      </c>
      <c r="C170" s="98" t="s">
        <v>224</v>
      </c>
      <c r="D170" s="39">
        <f>51.2+20.2</f>
        <v>71.400000000000006</v>
      </c>
      <c r="E170" s="39">
        <f t="shared" ref="E170:F170" si="40">51.2+20.2</f>
        <v>71.400000000000006</v>
      </c>
      <c r="F170" s="39">
        <f t="shared" si="40"/>
        <v>71.400000000000006</v>
      </c>
      <c r="G170" s="103"/>
    </row>
    <row r="171" spans="1:7" ht="51" x14ac:dyDescent="0.2">
      <c r="A171" s="21" t="s">
        <v>254</v>
      </c>
      <c r="B171" s="35"/>
      <c r="C171" s="98" t="s">
        <v>253</v>
      </c>
      <c r="D171" s="41">
        <f>D172+D174+D176</f>
        <v>5573.9</v>
      </c>
      <c r="E171" s="41">
        <f t="shared" ref="E171:F171" si="41">E172+E174+E176</f>
        <v>35</v>
      </c>
      <c r="F171" s="41">
        <f t="shared" si="41"/>
        <v>35</v>
      </c>
      <c r="G171" s="103"/>
    </row>
    <row r="172" spans="1:7" ht="51" x14ac:dyDescent="0.2">
      <c r="A172" s="125" t="s">
        <v>441</v>
      </c>
      <c r="B172" s="82"/>
      <c r="C172" s="130" t="s">
        <v>366</v>
      </c>
      <c r="D172" s="39">
        <f>D173</f>
        <v>192.1</v>
      </c>
      <c r="E172" s="39">
        <f>E173</f>
        <v>35</v>
      </c>
      <c r="F172" s="39">
        <f>F173</f>
        <v>35</v>
      </c>
      <c r="G172" s="103"/>
    </row>
    <row r="173" spans="1:7" x14ac:dyDescent="0.2">
      <c r="A173" s="125" t="s">
        <v>441</v>
      </c>
      <c r="B173" s="21" t="s">
        <v>225</v>
      </c>
      <c r="C173" s="98" t="s">
        <v>224</v>
      </c>
      <c r="D173" s="39">
        <f>4+188.1</f>
        <v>192.1</v>
      </c>
      <c r="E173" s="39">
        <v>35</v>
      </c>
      <c r="F173" s="39">
        <v>35</v>
      </c>
      <c r="G173" s="103"/>
    </row>
    <row r="174" spans="1:7" ht="38.25" x14ac:dyDescent="0.2">
      <c r="A174" s="133" t="s">
        <v>723</v>
      </c>
      <c r="B174" s="21"/>
      <c r="C174" s="98" t="s">
        <v>724</v>
      </c>
      <c r="D174" s="39">
        <f>D175</f>
        <v>5181.7999999999993</v>
      </c>
      <c r="E174" s="39">
        <f>E175</f>
        <v>0</v>
      </c>
      <c r="F174" s="39">
        <f>F175</f>
        <v>0</v>
      </c>
      <c r="G174" s="103"/>
    </row>
    <row r="175" spans="1:7" x14ac:dyDescent="0.2">
      <c r="A175" s="133" t="s">
        <v>723</v>
      </c>
      <c r="B175" s="21" t="s">
        <v>225</v>
      </c>
      <c r="C175" s="98" t="s">
        <v>224</v>
      </c>
      <c r="D175" s="39">
        <f>192+2060.1+2929.7</f>
        <v>5181.7999999999993</v>
      </c>
      <c r="E175" s="39">
        <v>0</v>
      </c>
      <c r="F175" s="39">
        <v>0</v>
      </c>
      <c r="G175" s="103"/>
    </row>
    <row r="176" spans="1:7" ht="38.25" x14ac:dyDescent="0.2">
      <c r="A176" s="162" t="s">
        <v>759</v>
      </c>
      <c r="B176" s="82"/>
      <c r="C176" s="124" t="s">
        <v>756</v>
      </c>
      <c r="D176" s="39">
        <f>D177</f>
        <v>200</v>
      </c>
      <c r="E176" s="39">
        <f t="shared" ref="E176:F176" si="42">E177</f>
        <v>0</v>
      </c>
      <c r="F176" s="39">
        <f t="shared" si="42"/>
        <v>0</v>
      </c>
      <c r="G176" s="103"/>
    </row>
    <row r="177" spans="1:7" x14ac:dyDescent="0.2">
      <c r="A177" s="162" t="s">
        <v>759</v>
      </c>
      <c r="B177" s="21" t="s">
        <v>225</v>
      </c>
      <c r="C177" s="98" t="s">
        <v>224</v>
      </c>
      <c r="D177" s="39">
        <v>200</v>
      </c>
      <c r="E177" s="39">
        <v>0</v>
      </c>
      <c r="F177" s="39">
        <v>0</v>
      </c>
      <c r="G177" s="103"/>
    </row>
    <row r="178" spans="1:7" ht="76.5" x14ac:dyDescent="0.2">
      <c r="A178" s="21" t="s">
        <v>719</v>
      </c>
      <c r="B178" s="35"/>
      <c r="C178" s="98" t="s">
        <v>720</v>
      </c>
      <c r="D178" s="41">
        <f>D179</f>
        <v>420.3</v>
      </c>
      <c r="E178" s="41">
        <f t="shared" ref="E178:F178" si="43">E179+E181</f>
        <v>0</v>
      </c>
      <c r="F178" s="41">
        <f t="shared" si="43"/>
        <v>0</v>
      </c>
      <c r="G178" s="103"/>
    </row>
    <row r="179" spans="1:7" ht="51" x14ac:dyDescent="0.2">
      <c r="A179" s="133" t="s">
        <v>721</v>
      </c>
      <c r="B179" s="21"/>
      <c r="C179" s="124" t="s">
        <v>722</v>
      </c>
      <c r="D179" s="39">
        <f>D180</f>
        <v>420.3</v>
      </c>
      <c r="E179" s="39">
        <f t="shared" ref="E179:F179" si="44">E180</f>
        <v>0</v>
      </c>
      <c r="F179" s="39">
        <f t="shared" si="44"/>
        <v>0</v>
      </c>
      <c r="G179" s="103"/>
    </row>
    <row r="180" spans="1:7" x14ac:dyDescent="0.2">
      <c r="A180" s="133" t="s">
        <v>721</v>
      </c>
      <c r="B180" s="21" t="s">
        <v>225</v>
      </c>
      <c r="C180" s="98" t="s">
        <v>224</v>
      </c>
      <c r="D180" s="39">
        <v>420.3</v>
      </c>
      <c r="E180" s="39">
        <v>0</v>
      </c>
      <c r="F180" s="39">
        <v>0</v>
      </c>
      <c r="G180" s="103"/>
    </row>
    <row r="181" spans="1:7" ht="38.25" x14ac:dyDescent="0.2">
      <c r="A181" s="133" t="s">
        <v>669</v>
      </c>
      <c r="B181" s="21"/>
      <c r="C181" s="98" t="s">
        <v>670</v>
      </c>
      <c r="D181" s="39">
        <f>D182</f>
        <v>12509.300000000001</v>
      </c>
      <c r="E181" s="39">
        <f t="shared" ref="E181:F182" si="45">E182</f>
        <v>0</v>
      </c>
      <c r="F181" s="39">
        <f t="shared" si="45"/>
        <v>0</v>
      </c>
      <c r="G181" s="103"/>
    </row>
    <row r="182" spans="1:7" ht="25.5" x14ac:dyDescent="0.2">
      <c r="A182" s="125" t="s">
        <v>671</v>
      </c>
      <c r="B182" s="21"/>
      <c r="C182" s="124" t="s">
        <v>672</v>
      </c>
      <c r="D182" s="39">
        <f>D183</f>
        <v>12509.300000000001</v>
      </c>
      <c r="E182" s="39">
        <f t="shared" si="45"/>
        <v>0</v>
      </c>
      <c r="F182" s="39">
        <f t="shared" si="45"/>
        <v>0</v>
      </c>
      <c r="G182" s="103"/>
    </row>
    <row r="183" spans="1:7" x14ac:dyDescent="0.2">
      <c r="A183" s="125" t="s">
        <v>671</v>
      </c>
      <c r="B183" s="21" t="s">
        <v>225</v>
      </c>
      <c r="C183" s="98" t="s">
        <v>224</v>
      </c>
      <c r="D183" s="39">
        <f>125.1+12384.2</f>
        <v>12509.300000000001</v>
      </c>
      <c r="E183" s="39">
        <v>0</v>
      </c>
      <c r="F183" s="39">
        <v>0</v>
      </c>
      <c r="G183" s="103"/>
    </row>
    <row r="184" spans="1:7" ht="37.5" customHeight="1" x14ac:dyDescent="0.2">
      <c r="A184" s="133" t="s">
        <v>442</v>
      </c>
      <c r="B184" s="21"/>
      <c r="C184" s="98" t="s">
        <v>443</v>
      </c>
      <c r="D184" s="39">
        <f>D185</f>
        <v>0</v>
      </c>
      <c r="E184" s="39">
        <f t="shared" ref="E184:F184" si="46">E185</f>
        <v>1</v>
      </c>
      <c r="F184" s="39">
        <f t="shared" si="46"/>
        <v>1</v>
      </c>
      <c r="G184" s="103"/>
    </row>
    <row r="185" spans="1:7" ht="48.75" customHeight="1" x14ac:dyDescent="0.2">
      <c r="A185" s="133" t="s">
        <v>445</v>
      </c>
      <c r="B185" s="21"/>
      <c r="C185" s="98" t="s">
        <v>444</v>
      </c>
      <c r="D185" s="39">
        <f>D186</f>
        <v>0</v>
      </c>
      <c r="E185" s="39">
        <f>E186</f>
        <v>1</v>
      </c>
      <c r="F185" s="39">
        <f>F186</f>
        <v>1</v>
      </c>
      <c r="G185" s="103"/>
    </row>
    <row r="186" spans="1:7" x14ac:dyDescent="0.2">
      <c r="A186" s="133" t="s">
        <v>445</v>
      </c>
      <c r="B186" s="21" t="s">
        <v>225</v>
      </c>
      <c r="C186" s="98" t="s">
        <v>224</v>
      </c>
      <c r="D186" s="39">
        <f>1-1</f>
        <v>0</v>
      </c>
      <c r="E186" s="39">
        <v>1</v>
      </c>
      <c r="F186" s="39">
        <v>1</v>
      </c>
      <c r="G186" s="103"/>
    </row>
    <row r="187" spans="1:7" ht="25.5" x14ac:dyDescent="0.2">
      <c r="A187" s="21" t="s">
        <v>446</v>
      </c>
      <c r="B187" s="35"/>
      <c r="C187" s="101" t="s">
        <v>255</v>
      </c>
      <c r="D187" s="41">
        <f>D188+D190</f>
        <v>674</v>
      </c>
      <c r="E187" s="41">
        <f t="shared" ref="E187:F187" si="47">E188+E190</f>
        <v>574</v>
      </c>
      <c r="F187" s="41">
        <f t="shared" si="47"/>
        <v>574</v>
      </c>
      <c r="G187" s="103"/>
    </row>
    <row r="188" spans="1:7" ht="38.25" x14ac:dyDescent="0.2">
      <c r="A188" s="21" t="s">
        <v>447</v>
      </c>
      <c r="B188" s="16"/>
      <c r="C188" s="98" t="s">
        <v>174</v>
      </c>
      <c r="D188" s="41">
        <f t="shared" ref="D188:F188" si="48">D189</f>
        <v>574</v>
      </c>
      <c r="E188" s="41">
        <f t="shared" si="48"/>
        <v>574</v>
      </c>
      <c r="F188" s="41">
        <f t="shared" si="48"/>
        <v>574</v>
      </c>
      <c r="G188" s="103"/>
    </row>
    <row r="189" spans="1:7" ht="38.25" x14ac:dyDescent="0.2">
      <c r="A189" s="21" t="s">
        <v>447</v>
      </c>
      <c r="B189" s="82" t="s">
        <v>211</v>
      </c>
      <c r="C189" s="98" t="s">
        <v>212</v>
      </c>
      <c r="D189" s="41">
        <v>574</v>
      </c>
      <c r="E189" s="41">
        <v>574</v>
      </c>
      <c r="F189" s="41">
        <v>574</v>
      </c>
      <c r="G189" s="103"/>
    </row>
    <row r="190" spans="1:7" ht="25.5" x14ac:dyDescent="0.2">
      <c r="A190" s="21" t="s">
        <v>757</v>
      </c>
      <c r="B190" s="82"/>
      <c r="C190" s="108" t="s">
        <v>758</v>
      </c>
      <c r="D190" s="41">
        <f>D191</f>
        <v>100</v>
      </c>
      <c r="E190" s="41">
        <f t="shared" ref="E190:F190" si="49">E191</f>
        <v>0</v>
      </c>
      <c r="F190" s="41">
        <f t="shared" si="49"/>
        <v>0</v>
      </c>
      <c r="G190" s="103"/>
    </row>
    <row r="191" spans="1:7" ht="38.25" x14ac:dyDescent="0.2">
      <c r="A191" s="175" t="s">
        <v>757</v>
      </c>
      <c r="B191" s="82" t="s">
        <v>211</v>
      </c>
      <c r="C191" s="98" t="s">
        <v>212</v>
      </c>
      <c r="D191" s="41">
        <v>100</v>
      </c>
      <c r="E191" s="41">
        <v>0</v>
      </c>
      <c r="F191" s="41">
        <v>0</v>
      </c>
      <c r="G191" s="103"/>
    </row>
    <row r="192" spans="1:7" ht="25.5" x14ac:dyDescent="0.2">
      <c r="A192" s="52" t="s">
        <v>43</v>
      </c>
      <c r="B192" s="35"/>
      <c r="C192" s="48" t="s">
        <v>201</v>
      </c>
      <c r="D192" s="58">
        <f>D193</f>
        <v>6706.1</v>
      </c>
      <c r="E192" s="58">
        <f t="shared" ref="E192:F192" si="50">E193</f>
        <v>706.1</v>
      </c>
      <c r="F192" s="58">
        <f t="shared" si="50"/>
        <v>706.1</v>
      </c>
      <c r="G192" s="103"/>
    </row>
    <row r="193" spans="1:7" ht="76.5" x14ac:dyDescent="0.2">
      <c r="A193" s="21" t="s">
        <v>256</v>
      </c>
      <c r="B193" s="35"/>
      <c r="C193" s="99" t="s">
        <v>257</v>
      </c>
      <c r="D193" s="58">
        <f>D194+D197+D200</f>
        <v>6706.1</v>
      </c>
      <c r="E193" s="58">
        <f t="shared" ref="E193:F193" si="51">E194+E197+E200</f>
        <v>706.1</v>
      </c>
      <c r="F193" s="58">
        <f t="shared" si="51"/>
        <v>706.1</v>
      </c>
      <c r="G193" s="103"/>
    </row>
    <row r="194" spans="1:7" ht="76.5" x14ac:dyDescent="0.2">
      <c r="A194" s="21" t="s">
        <v>448</v>
      </c>
      <c r="B194" s="21"/>
      <c r="C194" s="99" t="s">
        <v>176</v>
      </c>
      <c r="D194" s="39">
        <f>SUM(D195:D196)</f>
        <v>615.1</v>
      </c>
      <c r="E194" s="39">
        <f>SUM(E196:E196)</f>
        <v>615.1</v>
      </c>
      <c r="F194" s="39">
        <f>SUM(F196:F196)</f>
        <v>615.1</v>
      </c>
      <c r="G194" s="103"/>
    </row>
    <row r="195" spans="1:7" ht="25.5" x14ac:dyDescent="0.2">
      <c r="A195" s="21" t="s">
        <v>448</v>
      </c>
      <c r="B195" s="82" t="s">
        <v>64</v>
      </c>
      <c r="C195" s="55" t="s">
        <v>130</v>
      </c>
      <c r="D195" s="39">
        <v>131.30000000000001</v>
      </c>
      <c r="E195" s="39">
        <v>0</v>
      </c>
      <c r="F195" s="39">
        <v>0</v>
      </c>
      <c r="G195" s="103"/>
    </row>
    <row r="196" spans="1:7" ht="38.25" x14ac:dyDescent="0.2">
      <c r="A196" s="21" t="s">
        <v>448</v>
      </c>
      <c r="B196" s="82" t="s">
        <v>211</v>
      </c>
      <c r="C196" s="98" t="s">
        <v>212</v>
      </c>
      <c r="D196" s="39">
        <f>615.1-131.3</f>
        <v>483.8</v>
      </c>
      <c r="E196" s="39">
        <v>615.1</v>
      </c>
      <c r="F196" s="39">
        <v>615.1</v>
      </c>
      <c r="G196" s="103"/>
    </row>
    <row r="197" spans="1:7" ht="51" x14ac:dyDescent="0.2">
      <c r="A197" s="21" t="s">
        <v>449</v>
      </c>
      <c r="B197" s="21"/>
      <c r="C197" s="99" t="s">
        <v>61</v>
      </c>
      <c r="D197" s="39">
        <f>SUM(D198:D199)</f>
        <v>91</v>
      </c>
      <c r="E197" s="39">
        <f>SUM(E198:E199)</f>
        <v>91</v>
      </c>
      <c r="F197" s="39">
        <f>SUM(F198:F199)</f>
        <v>91</v>
      </c>
      <c r="G197" s="103"/>
    </row>
    <row r="198" spans="1:7" ht="25.5" x14ac:dyDescent="0.2">
      <c r="A198" s="21" t="s">
        <v>449</v>
      </c>
      <c r="B198" s="82" t="s">
        <v>64</v>
      </c>
      <c r="C198" s="55" t="s">
        <v>130</v>
      </c>
      <c r="D198" s="39">
        <v>46</v>
      </c>
      <c r="E198" s="39">
        <v>46</v>
      </c>
      <c r="F198" s="39">
        <v>46</v>
      </c>
      <c r="G198" s="103"/>
    </row>
    <row r="199" spans="1:7" ht="38.25" x14ac:dyDescent="0.2">
      <c r="A199" s="21" t="s">
        <v>449</v>
      </c>
      <c r="B199" s="82" t="s">
        <v>211</v>
      </c>
      <c r="C199" s="98" t="s">
        <v>212</v>
      </c>
      <c r="D199" s="39">
        <v>45</v>
      </c>
      <c r="E199" s="39">
        <v>45</v>
      </c>
      <c r="F199" s="39">
        <v>45</v>
      </c>
      <c r="G199" s="103"/>
    </row>
    <row r="200" spans="1:7" ht="25.5" x14ac:dyDescent="0.2">
      <c r="A200" s="21" t="s">
        <v>709</v>
      </c>
      <c r="B200" s="82"/>
      <c r="C200" s="98" t="s">
        <v>710</v>
      </c>
      <c r="D200" s="39">
        <f>D201</f>
        <v>6000</v>
      </c>
      <c r="E200" s="39">
        <f t="shared" ref="E200:F200" si="52">E201</f>
        <v>0</v>
      </c>
      <c r="F200" s="39">
        <f t="shared" si="52"/>
        <v>0</v>
      </c>
      <c r="G200" s="103"/>
    </row>
    <row r="201" spans="1:7" ht="38.25" x14ac:dyDescent="0.2">
      <c r="A201" s="21" t="s">
        <v>709</v>
      </c>
      <c r="B201" s="82" t="s">
        <v>211</v>
      </c>
      <c r="C201" s="98" t="s">
        <v>212</v>
      </c>
      <c r="D201" s="39">
        <v>6000</v>
      </c>
      <c r="E201" s="39">
        <v>0</v>
      </c>
      <c r="F201" s="39">
        <v>0</v>
      </c>
      <c r="G201" s="103"/>
    </row>
    <row r="202" spans="1:7" ht="25.5" x14ac:dyDescent="0.2">
      <c r="A202" s="52" t="s">
        <v>30</v>
      </c>
      <c r="B202" s="21"/>
      <c r="C202" s="48" t="s">
        <v>177</v>
      </c>
      <c r="D202" s="41">
        <f>D203+D212+D215</f>
        <v>12265</v>
      </c>
      <c r="E202" s="41">
        <f>E203+E212+E215</f>
        <v>7677.4</v>
      </c>
      <c r="F202" s="41">
        <f>F203+F212+F215</f>
        <v>7677.4</v>
      </c>
      <c r="G202" s="103"/>
    </row>
    <row r="203" spans="1:7" ht="25.5" x14ac:dyDescent="0.2">
      <c r="A203" s="21" t="s">
        <v>209</v>
      </c>
      <c r="B203" s="16"/>
      <c r="C203" s="101" t="s">
        <v>308</v>
      </c>
      <c r="D203" s="41">
        <f>D204+D206+D208+D210</f>
        <v>361.20000000000005</v>
      </c>
      <c r="E203" s="41">
        <f>E204+E206+E208+E210</f>
        <v>361.20000000000005</v>
      </c>
      <c r="F203" s="41">
        <f>F204+F206+F208+F210</f>
        <v>361.20000000000005</v>
      </c>
      <c r="G203" s="103"/>
    </row>
    <row r="204" spans="1:7" ht="51" x14ac:dyDescent="0.2">
      <c r="A204" s="135" t="s">
        <v>450</v>
      </c>
      <c r="B204" s="16"/>
      <c r="C204" s="100" t="s">
        <v>206</v>
      </c>
      <c r="D204" s="39">
        <f>D205</f>
        <v>6.6</v>
      </c>
      <c r="E204" s="39">
        <f>E205</f>
        <v>6.6</v>
      </c>
      <c r="F204" s="39">
        <f>F205</f>
        <v>6.6</v>
      </c>
      <c r="G204" s="103"/>
    </row>
    <row r="205" spans="1:7" ht="38.25" x14ac:dyDescent="0.2">
      <c r="A205" s="135" t="s">
        <v>450</v>
      </c>
      <c r="B205" s="82" t="s">
        <v>211</v>
      </c>
      <c r="C205" s="98" t="s">
        <v>212</v>
      </c>
      <c r="D205" s="41">
        <v>6.6</v>
      </c>
      <c r="E205" s="41">
        <v>6.6</v>
      </c>
      <c r="F205" s="41">
        <v>6.6</v>
      </c>
      <c r="G205" s="103"/>
    </row>
    <row r="206" spans="1:7" ht="25.5" x14ac:dyDescent="0.2">
      <c r="A206" s="135" t="s">
        <v>451</v>
      </c>
      <c r="B206" s="16"/>
      <c r="C206" s="98" t="s">
        <v>178</v>
      </c>
      <c r="D206" s="41">
        <f>D207</f>
        <v>289.60000000000002</v>
      </c>
      <c r="E206" s="41">
        <f>E207</f>
        <v>289.60000000000002</v>
      </c>
      <c r="F206" s="41">
        <f>F207</f>
        <v>289.60000000000002</v>
      </c>
      <c r="G206" s="103"/>
    </row>
    <row r="207" spans="1:7" ht="38.25" x14ac:dyDescent="0.2">
      <c r="A207" s="135" t="s">
        <v>451</v>
      </c>
      <c r="B207" s="82" t="s">
        <v>211</v>
      </c>
      <c r="C207" s="98" t="s">
        <v>212</v>
      </c>
      <c r="D207" s="41">
        <v>289.60000000000002</v>
      </c>
      <c r="E207" s="41">
        <v>289.60000000000002</v>
      </c>
      <c r="F207" s="41">
        <v>289.60000000000002</v>
      </c>
      <c r="G207" s="103"/>
    </row>
    <row r="208" spans="1:7" ht="51" x14ac:dyDescent="0.2">
      <c r="A208" s="135" t="s">
        <v>452</v>
      </c>
      <c r="B208" s="16"/>
      <c r="C208" s="98" t="s">
        <v>77</v>
      </c>
      <c r="D208" s="41">
        <f>D209</f>
        <v>15</v>
      </c>
      <c r="E208" s="41">
        <f>E209</f>
        <v>15</v>
      </c>
      <c r="F208" s="41">
        <f>F209</f>
        <v>15</v>
      </c>
      <c r="G208" s="103"/>
    </row>
    <row r="209" spans="1:7" ht="38.25" x14ac:dyDescent="0.2">
      <c r="A209" s="135" t="s">
        <v>452</v>
      </c>
      <c r="B209" s="82" t="s">
        <v>211</v>
      </c>
      <c r="C209" s="98" t="s">
        <v>212</v>
      </c>
      <c r="D209" s="41">
        <v>15</v>
      </c>
      <c r="E209" s="41">
        <v>15</v>
      </c>
      <c r="F209" s="41">
        <v>15</v>
      </c>
      <c r="G209" s="103"/>
    </row>
    <row r="210" spans="1:7" x14ac:dyDescent="0.2">
      <c r="A210" s="135" t="s">
        <v>453</v>
      </c>
      <c r="B210" s="82"/>
      <c r="C210" s="54" t="s">
        <v>374</v>
      </c>
      <c r="D210" s="41">
        <f>D211</f>
        <v>50</v>
      </c>
      <c r="E210" s="41">
        <f>E211</f>
        <v>50</v>
      </c>
      <c r="F210" s="41">
        <f>F211</f>
        <v>50</v>
      </c>
      <c r="G210" s="103"/>
    </row>
    <row r="211" spans="1:7" ht="38.25" x14ac:dyDescent="0.2">
      <c r="A211" s="135" t="s">
        <v>453</v>
      </c>
      <c r="B211" s="82" t="s">
        <v>211</v>
      </c>
      <c r="C211" s="98" t="s">
        <v>212</v>
      </c>
      <c r="D211" s="41">
        <v>50</v>
      </c>
      <c r="E211" s="41">
        <v>50</v>
      </c>
      <c r="F211" s="41">
        <v>50</v>
      </c>
      <c r="G211" s="103"/>
    </row>
    <row r="212" spans="1:7" ht="76.5" x14ac:dyDescent="0.2">
      <c r="A212" s="21" t="s">
        <v>258</v>
      </c>
      <c r="B212" s="16"/>
      <c r="C212" s="101" t="s">
        <v>259</v>
      </c>
      <c r="D212" s="41">
        <f t="shared" ref="D212:F213" si="53">D213</f>
        <v>11039.8</v>
      </c>
      <c r="E212" s="41">
        <f t="shared" si="53"/>
        <v>7316.2</v>
      </c>
      <c r="F212" s="41">
        <f t="shared" si="53"/>
        <v>7316.2</v>
      </c>
      <c r="G212" s="103"/>
    </row>
    <row r="213" spans="1:7" ht="38.25" x14ac:dyDescent="0.2">
      <c r="A213" s="74">
        <v>230221100</v>
      </c>
      <c r="B213" s="16"/>
      <c r="C213" s="98" t="s">
        <v>0</v>
      </c>
      <c r="D213" s="41">
        <f t="shared" si="53"/>
        <v>11039.8</v>
      </c>
      <c r="E213" s="41">
        <f t="shared" si="53"/>
        <v>7316.2</v>
      </c>
      <c r="F213" s="41">
        <f t="shared" si="53"/>
        <v>7316.2</v>
      </c>
      <c r="G213" s="103"/>
    </row>
    <row r="214" spans="1:7" x14ac:dyDescent="0.2">
      <c r="A214" s="74">
        <v>230221100</v>
      </c>
      <c r="B214" s="82" t="s">
        <v>225</v>
      </c>
      <c r="C214" s="98" t="s">
        <v>224</v>
      </c>
      <c r="D214" s="41">
        <f>10339.8+700</f>
        <v>11039.8</v>
      </c>
      <c r="E214" s="41">
        <v>7316.2</v>
      </c>
      <c r="F214" s="41">
        <v>7316.2</v>
      </c>
      <c r="G214" s="103"/>
    </row>
    <row r="215" spans="1:7" ht="63.75" x14ac:dyDescent="0.2">
      <c r="A215" s="21" t="s">
        <v>456</v>
      </c>
      <c r="B215" s="82"/>
      <c r="C215" s="98" t="s">
        <v>455</v>
      </c>
      <c r="D215" s="41">
        <f>D216+D218</f>
        <v>864</v>
      </c>
      <c r="E215" s="41">
        <f t="shared" ref="E215:F215" si="54">E216+E218</f>
        <v>0</v>
      </c>
      <c r="F215" s="41">
        <f t="shared" si="54"/>
        <v>0</v>
      </c>
      <c r="G215" s="103"/>
    </row>
    <row r="216" spans="1:7" ht="53.25" customHeight="1" x14ac:dyDescent="0.2">
      <c r="A216" s="74">
        <v>230321210</v>
      </c>
      <c r="B216" s="82"/>
      <c r="C216" s="98" t="s">
        <v>454</v>
      </c>
      <c r="D216" s="41">
        <f t="shared" ref="D216:F216" si="55">D217</f>
        <v>90</v>
      </c>
      <c r="E216" s="41">
        <f t="shared" si="55"/>
        <v>0</v>
      </c>
      <c r="F216" s="41">
        <f t="shared" si="55"/>
        <v>0</v>
      </c>
      <c r="G216" s="103"/>
    </row>
    <row r="217" spans="1:7" x14ac:dyDescent="0.2">
      <c r="A217" s="74">
        <v>230321210</v>
      </c>
      <c r="B217" s="21" t="s">
        <v>225</v>
      </c>
      <c r="C217" s="98" t="s">
        <v>224</v>
      </c>
      <c r="D217" s="41">
        <v>90</v>
      </c>
      <c r="E217" s="41">
        <v>0</v>
      </c>
      <c r="F217" s="41">
        <v>0</v>
      </c>
      <c r="G217" s="103"/>
    </row>
    <row r="218" spans="1:7" ht="38.25" x14ac:dyDescent="0.2">
      <c r="A218" s="74">
        <v>230321220</v>
      </c>
      <c r="B218" s="21"/>
      <c r="C218" s="98" t="s">
        <v>679</v>
      </c>
      <c r="D218" s="41">
        <f>D219</f>
        <v>774</v>
      </c>
      <c r="E218" s="41">
        <f t="shared" ref="E218:F218" si="56">E219</f>
        <v>0</v>
      </c>
      <c r="F218" s="41">
        <f t="shared" si="56"/>
        <v>0</v>
      </c>
      <c r="G218" s="103"/>
    </row>
    <row r="219" spans="1:7" x14ac:dyDescent="0.2">
      <c r="A219" s="74">
        <v>230321220</v>
      </c>
      <c r="B219" s="21" t="s">
        <v>225</v>
      </c>
      <c r="C219" s="98" t="s">
        <v>224</v>
      </c>
      <c r="D219" s="41">
        <f>474+300</f>
        <v>774</v>
      </c>
      <c r="E219" s="41">
        <v>0</v>
      </c>
      <c r="F219" s="41">
        <v>0</v>
      </c>
      <c r="G219" s="103"/>
    </row>
    <row r="220" spans="1:7" x14ac:dyDescent="0.2">
      <c r="A220" s="52" t="s">
        <v>31</v>
      </c>
      <c r="B220" s="21"/>
      <c r="C220" s="66" t="s">
        <v>46</v>
      </c>
      <c r="D220" s="58">
        <f>D221</f>
        <v>3564.6</v>
      </c>
      <c r="E220" s="58">
        <f>E221</f>
        <v>3454.5</v>
      </c>
      <c r="F220" s="58">
        <f>F221</f>
        <v>3454.5</v>
      </c>
      <c r="G220" s="103"/>
    </row>
    <row r="221" spans="1:7" ht="63.75" x14ac:dyDescent="0.2">
      <c r="A221" s="80">
        <v>290022200</v>
      </c>
      <c r="B221" s="21"/>
      <c r="C221" s="98" t="s">
        <v>261</v>
      </c>
      <c r="D221" s="94">
        <f>SUM(D222:D224)</f>
        <v>3564.6</v>
      </c>
      <c r="E221" s="94">
        <f>SUM(E222:E223)</f>
        <v>3454.5</v>
      </c>
      <c r="F221" s="94">
        <f>SUM(F222:F223)</f>
        <v>3454.5</v>
      </c>
      <c r="G221" s="103"/>
    </row>
    <row r="222" spans="1:7" ht="25.5" x14ac:dyDescent="0.2">
      <c r="A222" s="80">
        <v>290022200</v>
      </c>
      <c r="B222" s="16" t="s">
        <v>62</v>
      </c>
      <c r="C222" s="55" t="s">
        <v>63</v>
      </c>
      <c r="D222" s="94">
        <f>3380.7+110.1-55</f>
        <v>3435.7999999999997</v>
      </c>
      <c r="E222" s="94">
        <v>3380.7</v>
      </c>
      <c r="F222" s="94">
        <v>3380.7</v>
      </c>
      <c r="G222" s="103"/>
    </row>
    <row r="223" spans="1:7" ht="38.25" x14ac:dyDescent="0.2">
      <c r="A223" s="80">
        <v>290022200</v>
      </c>
      <c r="B223" s="82" t="s">
        <v>211</v>
      </c>
      <c r="C223" s="98" t="s">
        <v>212</v>
      </c>
      <c r="D223" s="41">
        <v>73.8</v>
      </c>
      <c r="E223" s="41">
        <v>73.8</v>
      </c>
      <c r="F223" s="41">
        <v>73.8</v>
      </c>
      <c r="G223" s="103"/>
    </row>
    <row r="224" spans="1:7" ht="28.5" customHeight="1" x14ac:dyDescent="0.2">
      <c r="A224" s="80">
        <v>290022200</v>
      </c>
      <c r="B224" s="82" t="s">
        <v>260</v>
      </c>
      <c r="C224" s="98" t="s">
        <v>249</v>
      </c>
      <c r="D224" s="41">
        <v>55</v>
      </c>
      <c r="E224" s="41">
        <v>0</v>
      </c>
      <c r="F224" s="41">
        <v>0</v>
      </c>
      <c r="G224" s="103"/>
    </row>
    <row r="225" spans="1:6" ht="77.25" customHeight="1" x14ac:dyDescent="0.2">
      <c r="A225" s="73" t="s">
        <v>69</v>
      </c>
      <c r="B225" s="16"/>
      <c r="C225" s="142" t="s">
        <v>576</v>
      </c>
      <c r="D225" s="96">
        <f>D226+D250</f>
        <v>168576.19999999998</v>
      </c>
      <c r="E225" s="96">
        <f>E226+E250</f>
        <v>10276.1</v>
      </c>
      <c r="F225" s="96">
        <f>F226+F250</f>
        <v>10252.299999999999</v>
      </c>
    </row>
    <row r="226" spans="1:6" ht="25.5" x14ac:dyDescent="0.2">
      <c r="A226" s="52" t="s">
        <v>70</v>
      </c>
      <c r="B226" s="16"/>
      <c r="C226" s="48" t="s">
        <v>157</v>
      </c>
      <c r="D226" s="93">
        <f>D227+D230</f>
        <v>165091.49999999997</v>
      </c>
      <c r="E226" s="93">
        <f>E227+E230</f>
        <v>7940</v>
      </c>
      <c r="F226" s="93">
        <f>F227+F230</f>
        <v>7916.2</v>
      </c>
    </row>
    <row r="227" spans="1:6" ht="38.25" x14ac:dyDescent="0.2">
      <c r="A227" s="21" t="s">
        <v>242</v>
      </c>
      <c r="B227" s="16"/>
      <c r="C227" s="99" t="s">
        <v>243</v>
      </c>
      <c r="D227" s="39">
        <f t="shared" ref="D227:F228" si="57">D228</f>
        <v>250</v>
      </c>
      <c r="E227" s="39">
        <f t="shared" si="57"/>
        <v>250</v>
      </c>
      <c r="F227" s="39">
        <f t="shared" si="57"/>
        <v>250</v>
      </c>
    </row>
    <row r="228" spans="1:6" ht="38.25" x14ac:dyDescent="0.2">
      <c r="A228" s="82" t="s">
        <v>457</v>
      </c>
      <c r="B228" s="16"/>
      <c r="C228" s="97" t="s">
        <v>158</v>
      </c>
      <c r="D228" s="41">
        <f t="shared" si="57"/>
        <v>250</v>
      </c>
      <c r="E228" s="41">
        <f t="shared" si="57"/>
        <v>250</v>
      </c>
      <c r="F228" s="41">
        <f t="shared" si="57"/>
        <v>250</v>
      </c>
    </row>
    <row r="229" spans="1:6" ht="38.25" x14ac:dyDescent="0.2">
      <c r="A229" s="82" t="s">
        <v>457</v>
      </c>
      <c r="B229" s="82" t="s">
        <v>211</v>
      </c>
      <c r="C229" s="98" t="s">
        <v>212</v>
      </c>
      <c r="D229" s="41">
        <v>250</v>
      </c>
      <c r="E229" s="41">
        <v>250</v>
      </c>
      <c r="F229" s="41">
        <v>250</v>
      </c>
    </row>
    <row r="230" spans="1:6" ht="51.75" customHeight="1" x14ac:dyDescent="0.2">
      <c r="A230" s="21" t="s">
        <v>244</v>
      </c>
      <c r="B230" s="82"/>
      <c r="C230" s="99" t="s">
        <v>245</v>
      </c>
      <c r="D230" s="41">
        <f>D231+D233+D235+D238+D240+D242+D244+D246+D248</f>
        <v>164841.49999999997</v>
      </c>
      <c r="E230" s="41">
        <f t="shared" ref="E230:F230" si="58">E231+E233+E235+E238+E240+E242+E244+E246+E248</f>
        <v>7690</v>
      </c>
      <c r="F230" s="41">
        <f t="shared" si="58"/>
        <v>7666.2</v>
      </c>
    </row>
    <row r="231" spans="1:6" ht="51" x14ac:dyDescent="0.2">
      <c r="A231" s="135" t="s">
        <v>458</v>
      </c>
      <c r="B231" s="16"/>
      <c r="C231" s="97" t="s">
        <v>159</v>
      </c>
      <c r="D231" s="41">
        <f>D232</f>
        <v>100</v>
      </c>
      <c r="E231" s="41">
        <f>E232</f>
        <v>100</v>
      </c>
      <c r="F231" s="41">
        <f>F232</f>
        <v>100</v>
      </c>
    </row>
    <row r="232" spans="1:6" ht="38.25" x14ac:dyDescent="0.2">
      <c r="A232" s="135" t="s">
        <v>458</v>
      </c>
      <c r="B232" s="82" t="s">
        <v>211</v>
      </c>
      <c r="C232" s="98" t="s">
        <v>212</v>
      </c>
      <c r="D232" s="41">
        <v>100</v>
      </c>
      <c r="E232" s="41">
        <v>100</v>
      </c>
      <c r="F232" s="41">
        <v>100</v>
      </c>
    </row>
    <row r="233" spans="1:6" ht="76.5" x14ac:dyDescent="0.2">
      <c r="A233" s="135" t="s">
        <v>459</v>
      </c>
      <c r="B233" s="16"/>
      <c r="C233" s="97" t="s">
        <v>160</v>
      </c>
      <c r="D233" s="41">
        <f>D234</f>
        <v>173.5</v>
      </c>
      <c r="E233" s="41">
        <f>E234</f>
        <v>100</v>
      </c>
      <c r="F233" s="41">
        <f>F234</f>
        <v>100</v>
      </c>
    </row>
    <row r="234" spans="1:6" ht="38.25" x14ac:dyDescent="0.2">
      <c r="A234" s="135" t="s">
        <v>459</v>
      </c>
      <c r="B234" s="82" t="s">
        <v>211</v>
      </c>
      <c r="C234" s="98" t="s">
        <v>212</v>
      </c>
      <c r="D234" s="41">
        <v>173.5</v>
      </c>
      <c r="E234" s="41">
        <v>100</v>
      </c>
      <c r="F234" s="41">
        <v>100</v>
      </c>
    </row>
    <row r="235" spans="1:6" ht="38.25" x14ac:dyDescent="0.2">
      <c r="A235" s="74">
        <v>310223174</v>
      </c>
      <c r="B235" s="16"/>
      <c r="C235" s="97" t="s">
        <v>161</v>
      </c>
      <c r="D235" s="41">
        <f>SUM(D236:D237)</f>
        <v>13158.599999999999</v>
      </c>
      <c r="E235" s="41">
        <f t="shared" ref="E235:F235" si="59">SUM(E236:E237)</f>
        <v>7490</v>
      </c>
      <c r="F235" s="41">
        <f t="shared" si="59"/>
        <v>7466.2</v>
      </c>
    </row>
    <row r="236" spans="1:6" ht="38.25" x14ac:dyDescent="0.2">
      <c r="A236" s="74">
        <v>310223174</v>
      </c>
      <c r="B236" s="82" t="s">
        <v>211</v>
      </c>
      <c r="C236" s="98" t="s">
        <v>212</v>
      </c>
      <c r="D236" s="41">
        <f>9728.9+4.8+1000+2500-62.6+100-193.8</f>
        <v>13077.3</v>
      </c>
      <c r="E236" s="41">
        <v>7490</v>
      </c>
      <c r="F236" s="41">
        <v>7466.2</v>
      </c>
    </row>
    <row r="237" spans="1:6" x14ac:dyDescent="0.2">
      <c r="A237" s="74">
        <v>310223174</v>
      </c>
      <c r="B237" s="82" t="s">
        <v>131</v>
      </c>
      <c r="C237" s="98" t="s">
        <v>132</v>
      </c>
      <c r="D237" s="41">
        <f>62.6+18.8-0.1</f>
        <v>81.300000000000011</v>
      </c>
      <c r="E237" s="41">
        <v>0</v>
      </c>
      <c r="F237" s="41">
        <v>0</v>
      </c>
    </row>
    <row r="238" spans="1:6" ht="54" customHeight="1" x14ac:dyDescent="0.2">
      <c r="A238" s="21" t="s">
        <v>733</v>
      </c>
      <c r="B238" s="35"/>
      <c r="C238" s="97" t="s">
        <v>766</v>
      </c>
      <c r="D238" s="1">
        <f>D239</f>
        <v>6352.2</v>
      </c>
      <c r="E238" s="39">
        <f t="shared" ref="E238:F238" si="60">E239</f>
        <v>0</v>
      </c>
      <c r="F238" s="39">
        <f t="shared" si="60"/>
        <v>0</v>
      </c>
    </row>
    <row r="239" spans="1:6" ht="38.25" x14ac:dyDescent="0.2">
      <c r="A239" s="21" t="s">
        <v>733</v>
      </c>
      <c r="B239" s="82" t="s">
        <v>211</v>
      </c>
      <c r="C239" s="98" t="s">
        <v>212</v>
      </c>
      <c r="D239" s="1">
        <f>6352.2</f>
        <v>6352.2</v>
      </c>
      <c r="E239" s="39">
        <v>0</v>
      </c>
      <c r="F239" s="39">
        <v>0</v>
      </c>
    </row>
    <row r="240" spans="1:6" ht="38.25" x14ac:dyDescent="0.2">
      <c r="A240" s="21" t="s">
        <v>732</v>
      </c>
      <c r="B240" s="82"/>
      <c r="C240" s="54" t="s">
        <v>728</v>
      </c>
      <c r="D240" s="41">
        <f>D241</f>
        <v>24876.3</v>
      </c>
      <c r="E240" s="41">
        <f t="shared" ref="E240:F240" si="61">E241</f>
        <v>0</v>
      </c>
      <c r="F240" s="41">
        <f t="shared" si="61"/>
        <v>0</v>
      </c>
    </row>
    <row r="241" spans="1:6" ht="38.25" x14ac:dyDescent="0.2">
      <c r="A241" s="21" t="s">
        <v>732</v>
      </c>
      <c r="B241" s="82" t="s">
        <v>211</v>
      </c>
      <c r="C241" s="98" t="s">
        <v>212</v>
      </c>
      <c r="D241" s="41">
        <f>25408.7-532.4</f>
        <v>24876.3</v>
      </c>
      <c r="E241" s="39">
        <v>0</v>
      </c>
      <c r="F241" s="39">
        <v>0</v>
      </c>
    </row>
    <row r="242" spans="1:6" ht="25.5" x14ac:dyDescent="0.2">
      <c r="A242" s="57" t="s">
        <v>778</v>
      </c>
      <c r="B242" s="21"/>
      <c r="C242" s="98" t="s">
        <v>777</v>
      </c>
      <c r="D242" s="41">
        <f>D243</f>
        <v>10273.1</v>
      </c>
      <c r="E242" s="41">
        <f t="shared" ref="E242:F242" si="62">E243</f>
        <v>0</v>
      </c>
      <c r="F242" s="41">
        <f t="shared" si="62"/>
        <v>0</v>
      </c>
    </row>
    <row r="243" spans="1:6" ht="38.25" x14ac:dyDescent="0.2">
      <c r="A243" s="57" t="s">
        <v>778</v>
      </c>
      <c r="B243" s="82" t="s">
        <v>211</v>
      </c>
      <c r="C243" s="98" t="s">
        <v>212</v>
      </c>
      <c r="D243" s="41">
        <f>1920.7+1188.8+1675.8+5487.8</f>
        <v>10273.1</v>
      </c>
      <c r="E243" s="39">
        <v>0</v>
      </c>
      <c r="F243" s="39">
        <v>0</v>
      </c>
    </row>
    <row r="244" spans="1:6" ht="25.5" x14ac:dyDescent="0.2">
      <c r="A244" s="162" t="s">
        <v>734</v>
      </c>
      <c r="B244" s="21"/>
      <c r="C244" s="98" t="s">
        <v>727</v>
      </c>
      <c r="D244" s="94">
        <f>D245</f>
        <v>101333.4</v>
      </c>
      <c r="E244" s="94">
        <f t="shared" ref="E244:F244" si="63">E245</f>
        <v>0</v>
      </c>
      <c r="F244" s="94">
        <f t="shared" si="63"/>
        <v>0</v>
      </c>
    </row>
    <row r="245" spans="1:6" ht="38.25" x14ac:dyDescent="0.2">
      <c r="A245" s="162" t="s">
        <v>734</v>
      </c>
      <c r="B245" s="82" t="s">
        <v>211</v>
      </c>
      <c r="C245" s="98" t="s">
        <v>212</v>
      </c>
      <c r="D245" s="94">
        <v>101333.4</v>
      </c>
      <c r="E245" s="41">
        <v>0</v>
      </c>
      <c r="F245" s="41">
        <v>0</v>
      </c>
    </row>
    <row r="246" spans="1:6" ht="38.25" x14ac:dyDescent="0.2">
      <c r="A246" s="162" t="s">
        <v>735</v>
      </c>
      <c r="B246" s="21"/>
      <c r="C246" s="98" t="s">
        <v>708</v>
      </c>
      <c r="D246" s="94">
        <f>D247</f>
        <v>3172.5</v>
      </c>
      <c r="E246" s="94">
        <f t="shared" ref="E246:F246" si="64">E247</f>
        <v>0</v>
      </c>
      <c r="F246" s="94">
        <f t="shared" si="64"/>
        <v>0</v>
      </c>
    </row>
    <row r="247" spans="1:6" ht="38.25" x14ac:dyDescent="0.2">
      <c r="A247" s="162" t="s">
        <v>735</v>
      </c>
      <c r="B247" s="82" t="s">
        <v>211</v>
      </c>
      <c r="C247" s="98" t="s">
        <v>212</v>
      </c>
      <c r="D247" s="94">
        <v>3172.5</v>
      </c>
      <c r="E247" s="41">
        <v>0</v>
      </c>
      <c r="F247" s="41">
        <v>0</v>
      </c>
    </row>
    <row r="248" spans="1:6" ht="38.25" x14ac:dyDescent="0.2">
      <c r="A248" s="162" t="s">
        <v>736</v>
      </c>
      <c r="B248" s="82"/>
      <c r="C248" s="98" t="s">
        <v>729</v>
      </c>
      <c r="D248" s="41">
        <f>D249</f>
        <v>5401.9</v>
      </c>
      <c r="E248" s="94">
        <f t="shared" ref="E248:F248" si="65">E249</f>
        <v>0</v>
      </c>
      <c r="F248" s="94">
        <f t="shared" si="65"/>
        <v>0</v>
      </c>
    </row>
    <row r="249" spans="1:6" ht="38.25" x14ac:dyDescent="0.2">
      <c r="A249" s="162" t="s">
        <v>736</v>
      </c>
      <c r="B249" s="82" t="s">
        <v>211</v>
      </c>
      <c r="C249" s="98" t="s">
        <v>212</v>
      </c>
      <c r="D249" s="41">
        <f>352.5+5049.4</f>
        <v>5401.9</v>
      </c>
      <c r="E249" s="41">
        <v>0</v>
      </c>
      <c r="F249" s="41">
        <v>0</v>
      </c>
    </row>
    <row r="250" spans="1:6" ht="38.25" x14ac:dyDescent="0.2">
      <c r="A250" s="52" t="s">
        <v>163</v>
      </c>
      <c r="B250" s="16"/>
      <c r="C250" s="48" t="s">
        <v>162</v>
      </c>
      <c r="D250" s="93">
        <f>D251+D254</f>
        <v>3484.7</v>
      </c>
      <c r="E250" s="93">
        <f>E251+E254</f>
        <v>2336.1</v>
      </c>
      <c r="F250" s="93">
        <f>F251+F254</f>
        <v>2336.1</v>
      </c>
    </row>
    <row r="251" spans="1:6" ht="63.75" x14ac:dyDescent="0.2">
      <c r="A251" s="21" t="s">
        <v>246</v>
      </c>
      <c r="B251" s="16"/>
      <c r="C251" s="99" t="s">
        <v>309</v>
      </c>
      <c r="D251" s="41">
        <f t="shared" ref="D251:F252" si="66">D252</f>
        <v>150</v>
      </c>
      <c r="E251" s="41">
        <f t="shared" si="66"/>
        <v>140.19999999999999</v>
      </c>
      <c r="F251" s="41">
        <f t="shared" si="66"/>
        <v>140.19999999999999</v>
      </c>
    </row>
    <row r="252" spans="1:6" ht="51" x14ac:dyDescent="0.2">
      <c r="A252" s="21" t="s">
        <v>460</v>
      </c>
      <c r="B252" s="30"/>
      <c r="C252" s="97" t="s">
        <v>164</v>
      </c>
      <c r="D252" s="41">
        <f t="shared" si="66"/>
        <v>150</v>
      </c>
      <c r="E252" s="41">
        <f t="shared" si="66"/>
        <v>140.19999999999999</v>
      </c>
      <c r="F252" s="41">
        <f t="shared" si="66"/>
        <v>140.19999999999999</v>
      </c>
    </row>
    <row r="253" spans="1:6" ht="38.25" x14ac:dyDescent="0.2">
      <c r="A253" s="21" t="s">
        <v>460</v>
      </c>
      <c r="B253" s="82" t="s">
        <v>211</v>
      </c>
      <c r="C253" s="98" t="s">
        <v>212</v>
      </c>
      <c r="D253" s="39">
        <v>150</v>
      </c>
      <c r="E253" s="39">
        <v>140.19999999999999</v>
      </c>
      <c r="F253" s="39">
        <v>140.19999999999999</v>
      </c>
    </row>
    <row r="254" spans="1:6" ht="25.5" x14ac:dyDescent="0.2">
      <c r="A254" s="21" t="s">
        <v>340</v>
      </c>
      <c r="B254" s="82"/>
      <c r="C254" s="99" t="s">
        <v>336</v>
      </c>
      <c r="D254" s="41">
        <f>D255+D257+D259</f>
        <v>3334.7</v>
      </c>
      <c r="E254" s="41">
        <f t="shared" ref="E254:F254" si="67">E255+E257+E259</f>
        <v>2195.9</v>
      </c>
      <c r="F254" s="41">
        <f t="shared" si="67"/>
        <v>2195.9</v>
      </c>
    </row>
    <row r="255" spans="1:6" ht="38.25" x14ac:dyDescent="0.2">
      <c r="A255" s="82" t="s">
        <v>461</v>
      </c>
      <c r="B255" s="30"/>
      <c r="C255" s="97" t="s">
        <v>167</v>
      </c>
      <c r="D255" s="41">
        <f>D256</f>
        <v>36</v>
      </c>
      <c r="E255" s="41">
        <f t="shared" ref="E255:F255" si="68">E256</f>
        <v>36</v>
      </c>
      <c r="F255" s="41">
        <f t="shared" si="68"/>
        <v>36</v>
      </c>
    </row>
    <row r="256" spans="1:6" ht="38.25" x14ac:dyDescent="0.2">
      <c r="A256" s="82" t="s">
        <v>461</v>
      </c>
      <c r="B256" s="82" t="s">
        <v>211</v>
      </c>
      <c r="C256" s="98" t="s">
        <v>212</v>
      </c>
      <c r="D256" s="41">
        <v>36</v>
      </c>
      <c r="E256" s="41">
        <v>36</v>
      </c>
      <c r="F256" s="41">
        <v>36</v>
      </c>
    </row>
    <row r="257" spans="1:9" ht="27" customHeight="1" x14ac:dyDescent="0.2">
      <c r="A257" s="21" t="s">
        <v>619</v>
      </c>
      <c r="B257" s="16"/>
      <c r="C257" s="99" t="s">
        <v>644</v>
      </c>
      <c r="D257" s="39">
        <f>D258</f>
        <v>2400</v>
      </c>
      <c r="E257" s="39">
        <f t="shared" ref="E257:F257" si="69">E258</f>
        <v>2159.9</v>
      </c>
      <c r="F257" s="39">
        <f t="shared" si="69"/>
        <v>2159.9</v>
      </c>
    </row>
    <row r="258" spans="1:9" ht="38.25" x14ac:dyDescent="0.2">
      <c r="A258" s="21" t="s">
        <v>619</v>
      </c>
      <c r="B258" s="82" t="s">
        <v>211</v>
      </c>
      <c r="C258" s="98" t="s">
        <v>212</v>
      </c>
      <c r="D258" s="39">
        <f>1500+890.1+9.9</f>
        <v>2400</v>
      </c>
      <c r="E258" s="39">
        <v>2159.9</v>
      </c>
      <c r="F258" s="39">
        <v>2159.9</v>
      </c>
    </row>
    <row r="259" spans="1:9" ht="78" customHeight="1" x14ac:dyDescent="0.2">
      <c r="A259" s="21" t="s">
        <v>760</v>
      </c>
      <c r="B259" s="82"/>
      <c r="C259" s="98" t="s">
        <v>761</v>
      </c>
      <c r="D259" s="39">
        <f>SUM(D260:D261)</f>
        <v>898.7</v>
      </c>
      <c r="E259" s="39">
        <f t="shared" ref="E259:F259" si="70">E260</f>
        <v>0</v>
      </c>
      <c r="F259" s="39">
        <f t="shared" si="70"/>
        <v>0</v>
      </c>
    </row>
    <row r="260" spans="1:9" ht="38.25" x14ac:dyDescent="0.2">
      <c r="A260" s="21" t="s">
        <v>760</v>
      </c>
      <c r="B260" s="82" t="s">
        <v>211</v>
      </c>
      <c r="C260" s="98" t="s">
        <v>212</v>
      </c>
      <c r="D260" s="39">
        <v>738.2</v>
      </c>
      <c r="E260" s="39">
        <v>0</v>
      </c>
      <c r="F260" s="39">
        <v>0</v>
      </c>
    </row>
    <row r="261" spans="1:9" x14ac:dyDescent="0.2">
      <c r="A261" s="21" t="s">
        <v>760</v>
      </c>
      <c r="B261" s="82" t="s">
        <v>750</v>
      </c>
      <c r="C261" s="98" t="s">
        <v>751</v>
      </c>
      <c r="D261" s="39">
        <v>160.5</v>
      </c>
      <c r="E261" s="39">
        <v>0</v>
      </c>
      <c r="F261" s="39">
        <v>0</v>
      </c>
    </row>
    <row r="262" spans="1:9" ht="75.75" customHeight="1" x14ac:dyDescent="0.2">
      <c r="A262" s="76">
        <v>400000000</v>
      </c>
      <c r="B262" s="30"/>
      <c r="C262" s="141" t="s">
        <v>575</v>
      </c>
      <c r="D262" s="96">
        <f>D263+D285+D300</f>
        <v>23169.899999999998</v>
      </c>
      <c r="E262" s="96">
        <f>E263+E285+E300</f>
        <v>10836.9</v>
      </c>
      <c r="F262" s="96">
        <f>F263+F285+F300</f>
        <v>9870.7000000000007</v>
      </c>
    </row>
    <row r="263" spans="1:9" ht="51" x14ac:dyDescent="0.2">
      <c r="A263" s="75">
        <v>410000000</v>
      </c>
      <c r="B263" s="30"/>
      <c r="C263" s="46" t="s">
        <v>462</v>
      </c>
      <c r="D263" s="93">
        <f>D264+D267+D274</f>
        <v>3426.5</v>
      </c>
      <c r="E263" s="93">
        <f>E264+E267+E274</f>
        <v>993</v>
      </c>
      <c r="F263" s="93">
        <f>F264+F267+F274</f>
        <v>993</v>
      </c>
    </row>
    <row r="264" spans="1:9" ht="38.25" x14ac:dyDescent="0.2">
      <c r="A264" s="74">
        <v>410100000</v>
      </c>
      <c r="B264" s="30"/>
      <c r="C264" s="97" t="s">
        <v>463</v>
      </c>
      <c r="D264" s="93">
        <f t="shared" ref="D264:F265" si="71">D265</f>
        <v>1160.5</v>
      </c>
      <c r="E264" s="93">
        <f t="shared" si="71"/>
        <v>63</v>
      </c>
      <c r="F264" s="93">
        <f t="shared" si="71"/>
        <v>63</v>
      </c>
    </row>
    <row r="265" spans="1:9" ht="25.5" x14ac:dyDescent="0.2">
      <c r="A265" s="135" t="s">
        <v>629</v>
      </c>
      <c r="B265" s="16"/>
      <c r="C265" s="99" t="s">
        <v>169</v>
      </c>
      <c r="D265" s="39">
        <f t="shared" si="71"/>
        <v>1160.5</v>
      </c>
      <c r="E265" s="39">
        <f t="shared" si="71"/>
        <v>63</v>
      </c>
      <c r="F265" s="39">
        <f t="shared" si="71"/>
        <v>63</v>
      </c>
    </row>
    <row r="266" spans="1:9" ht="38.25" x14ac:dyDescent="0.2">
      <c r="A266" s="135" t="s">
        <v>629</v>
      </c>
      <c r="B266" s="82" t="s">
        <v>211</v>
      </c>
      <c r="C266" s="98" t="s">
        <v>212</v>
      </c>
      <c r="D266" s="39">
        <v>1160.5</v>
      </c>
      <c r="E266" s="39">
        <v>63</v>
      </c>
      <c r="F266" s="39">
        <v>63</v>
      </c>
    </row>
    <row r="267" spans="1:9" ht="51" x14ac:dyDescent="0.2">
      <c r="A267" s="74">
        <v>410200000</v>
      </c>
      <c r="B267" s="30"/>
      <c r="C267" s="97" t="s">
        <v>467</v>
      </c>
      <c r="D267" s="39">
        <f>D268+D270+D272</f>
        <v>130</v>
      </c>
      <c r="E267" s="39">
        <f t="shared" ref="E267:F267" si="72">E268+E270+E272</f>
        <v>130</v>
      </c>
      <c r="F267" s="39">
        <f t="shared" si="72"/>
        <v>130</v>
      </c>
    </row>
    <row r="268" spans="1:9" ht="68.25" customHeight="1" x14ac:dyDescent="0.2">
      <c r="A268" s="135" t="s">
        <v>624</v>
      </c>
      <c r="B268" s="82"/>
      <c r="C268" s="98" t="s">
        <v>592</v>
      </c>
      <c r="D268" s="39">
        <f t="shared" ref="D268:F268" si="73">D269</f>
        <v>50</v>
      </c>
      <c r="E268" s="39">
        <f t="shared" si="73"/>
        <v>50</v>
      </c>
      <c r="F268" s="39">
        <f t="shared" si="73"/>
        <v>50</v>
      </c>
    </row>
    <row r="269" spans="1:9" ht="38.25" x14ac:dyDescent="0.2">
      <c r="A269" s="135" t="s">
        <v>624</v>
      </c>
      <c r="B269" s="82" t="s">
        <v>211</v>
      </c>
      <c r="C269" s="98" t="s">
        <v>212</v>
      </c>
      <c r="D269" s="39">
        <v>50</v>
      </c>
      <c r="E269" s="39">
        <v>50</v>
      </c>
      <c r="F269" s="39">
        <v>50</v>
      </c>
      <c r="I269" s="103"/>
    </row>
    <row r="270" spans="1:9" ht="27" customHeight="1" x14ac:dyDescent="0.2">
      <c r="A270" s="135" t="s">
        <v>623</v>
      </c>
      <c r="B270" s="82"/>
      <c r="C270" s="98" t="s">
        <v>465</v>
      </c>
      <c r="D270" s="39">
        <f>D271</f>
        <v>30</v>
      </c>
      <c r="E270" s="39">
        <f>E271</f>
        <v>30</v>
      </c>
      <c r="F270" s="39">
        <f>F271</f>
        <v>30</v>
      </c>
    </row>
    <row r="271" spans="1:9" ht="38.25" x14ac:dyDescent="0.2">
      <c r="A271" s="135" t="s">
        <v>623</v>
      </c>
      <c r="B271" s="82" t="s">
        <v>211</v>
      </c>
      <c r="C271" s="98" t="s">
        <v>212</v>
      </c>
      <c r="D271" s="39">
        <v>30</v>
      </c>
      <c r="E271" s="39">
        <v>30</v>
      </c>
      <c r="F271" s="39">
        <v>30</v>
      </c>
    </row>
    <row r="272" spans="1:9" ht="38.25" x14ac:dyDescent="0.2">
      <c r="A272" s="135" t="s">
        <v>622</v>
      </c>
      <c r="B272" s="82"/>
      <c r="C272" s="98" t="s">
        <v>593</v>
      </c>
      <c r="D272" s="39">
        <f>D273</f>
        <v>50</v>
      </c>
      <c r="E272" s="39">
        <f t="shared" ref="E272:F272" si="74">E273</f>
        <v>50</v>
      </c>
      <c r="F272" s="39">
        <f t="shared" si="74"/>
        <v>50</v>
      </c>
    </row>
    <row r="273" spans="1:6" ht="38.25" x14ac:dyDescent="0.2">
      <c r="A273" s="135" t="s">
        <v>622</v>
      </c>
      <c r="B273" s="82" t="s">
        <v>211</v>
      </c>
      <c r="C273" s="98" t="s">
        <v>212</v>
      </c>
      <c r="D273" s="39">
        <v>50</v>
      </c>
      <c r="E273" s="39">
        <v>50</v>
      </c>
      <c r="F273" s="39">
        <v>50</v>
      </c>
    </row>
    <row r="274" spans="1:6" ht="38.25" x14ac:dyDescent="0.2">
      <c r="A274" s="135" t="s">
        <v>469</v>
      </c>
      <c r="B274" s="82"/>
      <c r="C274" s="97" t="s">
        <v>468</v>
      </c>
      <c r="D274" s="39">
        <f>D275+D277+D279+D281+D283</f>
        <v>2136</v>
      </c>
      <c r="E274" s="39">
        <f t="shared" ref="E274:F274" si="75">E275+E277+E279+E281+E283</f>
        <v>800</v>
      </c>
      <c r="F274" s="39">
        <f t="shared" si="75"/>
        <v>800</v>
      </c>
    </row>
    <row r="275" spans="1:6" ht="52.5" customHeight="1" x14ac:dyDescent="0.2">
      <c r="A275" s="135" t="s">
        <v>625</v>
      </c>
      <c r="B275" s="82"/>
      <c r="C275" s="98" t="s">
        <v>594</v>
      </c>
      <c r="D275" s="39">
        <f>D276</f>
        <v>200</v>
      </c>
      <c r="E275" s="39">
        <f t="shared" ref="E275:F275" si="76">E276</f>
        <v>200</v>
      </c>
      <c r="F275" s="39">
        <f t="shared" si="76"/>
        <v>200</v>
      </c>
    </row>
    <row r="276" spans="1:6" ht="63.75" x14ac:dyDescent="0.2">
      <c r="A276" s="135" t="s">
        <v>625</v>
      </c>
      <c r="B276" s="16" t="s">
        <v>12</v>
      </c>
      <c r="C276" s="98" t="s">
        <v>365</v>
      </c>
      <c r="D276" s="39">
        <v>200</v>
      </c>
      <c r="E276" s="39">
        <v>200</v>
      </c>
      <c r="F276" s="39">
        <v>200</v>
      </c>
    </row>
    <row r="277" spans="1:6" ht="61.5" customHeight="1" x14ac:dyDescent="0.2">
      <c r="A277" s="135" t="s">
        <v>626</v>
      </c>
      <c r="B277" s="82"/>
      <c r="C277" s="98" t="s">
        <v>470</v>
      </c>
      <c r="D277" s="39">
        <f>D278</f>
        <v>500</v>
      </c>
      <c r="E277" s="39">
        <f t="shared" ref="E277:F277" si="77">E278</f>
        <v>500</v>
      </c>
      <c r="F277" s="39">
        <f t="shared" si="77"/>
        <v>500</v>
      </c>
    </row>
    <row r="278" spans="1:6" ht="63.75" x14ac:dyDescent="0.2">
      <c r="A278" s="135" t="s">
        <v>626</v>
      </c>
      <c r="B278" s="16" t="s">
        <v>12</v>
      </c>
      <c r="C278" s="98" t="s">
        <v>365</v>
      </c>
      <c r="D278" s="39">
        <v>500</v>
      </c>
      <c r="E278" s="39">
        <v>500</v>
      </c>
      <c r="F278" s="39">
        <v>500</v>
      </c>
    </row>
    <row r="279" spans="1:6" ht="88.5" customHeight="1" x14ac:dyDescent="0.2">
      <c r="A279" s="135" t="s">
        <v>627</v>
      </c>
      <c r="B279" s="82"/>
      <c r="C279" s="98" t="s">
        <v>471</v>
      </c>
      <c r="D279" s="39">
        <f>D280</f>
        <v>80</v>
      </c>
      <c r="E279" s="39">
        <f t="shared" ref="E279:F279" si="78">E280</f>
        <v>100</v>
      </c>
      <c r="F279" s="39">
        <f t="shared" si="78"/>
        <v>100</v>
      </c>
    </row>
    <row r="280" spans="1:6" ht="63.75" x14ac:dyDescent="0.2">
      <c r="A280" s="135" t="s">
        <v>627</v>
      </c>
      <c r="B280" s="16" t="s">
        <v>12</v>
      </c>
      <c r="C280" s="98" t="s">
        <v>365</v>
      </c>
      <c r="D280" s="39">
        <v>80</v>
      </c>
      <c r="E280" s="39">
        <v>100</v>
      </c>
      <c r="F280" s="39">
        <v>100</v>
      </c>
    </row>
    <row r="281" spans="1:6" ht="80.25" customHeight="1" x14ac:dyDescent="0.2">
      <c r="A281" s="135" t="s">
        <v>628</v>
      </c>
      <c r="B281" s="16"/>
      <c r="C281" s="98" t="s">
        <v>595</v>
      </c>
      <c r="D281" s="39">
        <f>D282</f>
        <v>356</v>
      </c>
      <c r="E281" s="39">
        <f t="shared" ref="E281:F281" si="79">E282</f>
        <v>0</v>
      </c>
      <c r="F281" s="39">
        <f t="shared" si="79"/>
        <v>0</v>
      </c>
    </row>
    <row r="282" spans="1:6" ht="63.75" x14ac:dyDescent="0.2">
      <c r="A282" s="135" t="s">
        <v>628</v>
      </c>
      <c r="B282" s="16" t="s">
        <v>12</v>
      </c>
      <c r="C282" s="98" t="s">
        <v>365</v>
      </c>
      <c r="D282" s="39">
        <v>356</v>
      </c>
      <c r="E282" s="39">
        <v>0</v>
      </c>
      <c r="F282" s="39">
        <v>0</v>
      </c>
    </row>
    <row r="283" spans="1:6" ht="89.25" x14ac:dyDescent="0.2">
      <c r="A283" s="135" t="s">
        <v>666</v>
      </c>
      <c r="B283" s="16"/>
      <c r="C283" s="98" t="s">
        <v>667</v>
      </c>
      <c r="D283" s="39">
        <f>D284</f>
        <v>1000</v>
      </c>
      <c r="E283" s="39">
        <f t="shared" ref="E283:F283" si="80">E284</f>
        <v>0</v>
      </c>
      <c r="F283" s="39">
        <f t="shared" si="80"/>
        <v>0</v>
      </c>
    </row>
    <row r="284" spans="1:6" ht="63.75" x14ac:dyDescent="0.2">
      <c r="A284" s="135" t="s">
        <v>666</v>
      </c>
      <c r="B284" s="16" t="s">
        <v>12</v>
      </c>
      <c r="C284" s="98" t="s">
        <v>365</v>
      </c>
      <c r="D284" s="39">
        <v>1000</v>
      </c>
      <c r="E284" s="39">
        <v>0</v>
      </c>
      <c r="F284" s="39">
        <v>0</v>
      </c>
    </row>
    <row r="285" spans="1:6" ht="51" x14ac:dyDescent="0.2">
      <c r="A285" s="75">
        <v>420000000</v>
      </c>
      <c r="B285" s="30"/>
      <c r="C285" s="46" t="s">
        <v>232</v>
      </c>
      <c r="D285" s="93">
        <f>D286+D295</f>
        <v>4480.7</v>
      </c>
      <c r="E285" s="93">
        <f t="shared" ref="E285:F285" si="81">E286+E295</f>
        <v>3538</v>
      </c>
      <c r="F285" s="93">
        <f t="shared" si="81"/>
        <v>3538</v>
      </c>
    </row>
    <row r="286" spans="1:6" ht="102" x14ac:dyDescent="0.2">
      <c r="A286" s="74">
        <v>420100000</v>
      </c>
      <c r="B286" s="16"/>
      <c r="C286" s="97" t="s">
        <v>472</v>
      </c>
      <c r="D286" s="41">
        <f>D287+D289+D291+D293</f>
        <v>3245.9</v>
      </c>
      <c r="E286" s="41">
        <f t="shared" ref="E286:F286" si="82">E287+E289+E291+E293</f>
        <v>2525.9</v>
      </c>
      <c r="F286" s="41">
        <f t="shared" si="82"/>
        <v>2525.9</v>
      </c>
    </row>
    <row r="287" spans="1:6" ht="38.25" x14ac:dyDescent="0.2">
      <c r="A287" s="74" t="s">
        <v>473</v>
      </c>
      <c r="B287" s="16"/>
      <c r="C287" s="98" t="s">
        <v>352</v>
      </c>
      <c r="D287" s="41">
        <f>D288</f>
        <v>600</v>
      </c>
      <c r="E287" s="41">
        <f t="shared" ref="E287:F287" si="83">E288</f>
        <v>300</v>
      </c>
      <c r="F287" s="41">
        <f t="shared" si="83"/>
        <v>300</v>
      </c>
    </row>
    <row r="288" spans="1:6" ht="63.75" x14ac:dyDescent="0.2">
      <c r="A288" s="74" t="s">
        <v>473</v>
      </c>
      <c r="B288" s="16" t="s">
        <v>19</v>
      </c>
      <c r="C288" s="99" t="s">
        <v>360</v>
      </c>
      <c r="D288" s="41">
        <v>600</v>
      </c>
      <c r="E288" s="41">
        <v>300</v>
      </c>
      <c r="F288" s="41">
        <v>300</v>
      </c>
    </row>
    <row r="289" spans="1:6" ht="63.75" customHeight="1" x14ac:dyDescent="0.2">
      <c r="A289" s="74">
        <v>420123230</v>
      </c>
      <c r="B289" s="16"/>
      <c r="C289" s="99" t="s">
        <v>661</v>
      </c>
      <c r="D289" s="41">
        <f>D290</f>
        <v>1620</v>
      </c>
      <c r="E289" s="41">
        <f t="shared" ref="E289:F289" si="84">E290</f>
        <v>1300</v>
      </c>
      <c r="F289" s="41">
        <f t="shared" si="84"/>
        <v>1300</v>
      </c>
    </row>
    <row r="290" spans="1:6" ht="38.25" x14ac:dyDescent="0.2">
      <c r="A290" s="74">
        <v>420123230</v>
      </c>
      <c r="B290" s="82" t="s">
        <v>211</v>
      </c>
      <c r="C290" s="98" t="s">
        <v>212</v>
      </c>
      <c r="D290" s="41">
        <f>1200+420</f>
        <v>1620</v>
      </c>
      <c r="E290" s="41">
        <v>1300</v>
      </c>
      <c r="F290" s="41">
        <v>1300</v>
      </c>
    </row>
    <row r="291" spans="1:6" ht="38.25" x14ac:dyDescent="0.2">
      <c r="A291" s="74">
        <v>420110320</v>
      </c>
      <c r="B291" s="1"/>
      <c r="C291" s="134" t="s">
        <v>474</v>
      </c>
      <c r="D291" s="41">
        <f>D292</f>
        <v>925.9</v>
      </c>
      <c r="E291" s="41">
        <f t="shared" ref="E291:F291" si="85">E292</f>
        <v>925.9</v>
      </c>
      <c r="F291" s="41">
        <f t="shared" si="85"/>
        <v>925.9</v>
      </c>
    </row>
    <row r="292" spans="1:6" ht="63.75" x14ac:dyDescent="0.2">
      <c r="A292" s="74">
        <v>420110320</v>
      </c>
      <c r="B292" s="16" t="s">
        <v>19</v>
      </c>
      <c r="C292" s="99" t="s">
        <v>360</v>
      </c>
      <c r="D292" s="41">
        <f>926.8-0.9</f>
        <v>925.9</v>
      </c>
      <c r="E292" s="41">
        <f t="shared" ref="E292:F292" si="86">926.8-0.9</f>
        <v>925.9</v>
      </c>
      <c r="F292" s="41">
        <f t="shared" si="86"/>
        <v>925.9</v>
      </c>
    </row>
    <row r="293" spans="1:6" ht="37.5" customHeight="1" x14ac:dyDescent="0.2">
      <c r="A293" s="74" t="s">
        <v>475</v>
      </c>
      <c r="B293" s="16"/>
      <c r="C293" s="99" t="s">
        <v>476</v>
      </c>
      <c r="D293" s="41">
        <f>D294</f>
        <v>100</v>
      </c>
      <c r="E293" s="41">
        <f t="shared" ref="E293:F293" si="87">E294</f>
        <v>0</v>
      </c>
      <c r="F293" s="41">
        <f t="shared" si="87"/>
        <v>0</v>
      </c>
    </row>
    <row r="294" spans="1:6" ht="63.75" x14ac:dyDescent="0.2">
      <c r="A294" s="74" t="s">
        <v>475</v>
      </c>
      <c r="B294" s="16" t="s">
        <v>19</v>
      </c>
      <c r="C294" s="99" t="s">
        <v>360</v>
      </c>
      <c r="D294" s="41">
        <v>100</v>
      </c>
      <c r="E294" s="41">
        <v>0</v>
      </c>
      <c r="F294" s="41">
        <v>0</v>
      </c>
    </row>
    <row r="295" spans="1:6" ht="102" customHeight="1" x14ac:dyDescent="0.2">
      <c r="A295" s="74">
        <v>420200000</v>
      </c>
      <c r="B295" s="16"/>
      <c r="C295" s="97" t="s">
        <v>660</v>
      </c>
      <c r="D295" s="41">
        <f>D296+D298</f>
        <v>1234.8</v>
      </c>
      <c r="E295" s="41">
        <f t="shared" ref="E295:F295" si="88">E296+E298</f>
        <v>1012.0999999999999</v>
      </c>
      <c r="F295" s="41">
        <f t="shared" si="88"/>
        <v>1012.0999999999999</v>
      </c>
    </row>
    <row r="296" spans="1:6" ht="63.75" x14ac:dyDescent="0.2">
      <c r="A296" s="74">
        <v>420223235</v>
      </c>
      <c r="B296" s="30"/>
      <c r="C296" s="98" t="s">
        <v>659</v>
      </c>
      <c r="D296" s="41">
        <f>D297</f>
        <v>686.3</v>
      </c>
      <c r="E296" s="41">
        <f>E297</f>
        <v>575.29999999999995</v>
      </c>
      <c r="F296" s="41">
        <f>F297</f>
        <v>575.29999999999995</v>
      </c>
    </row>
    <row r="297" spans="1:6" ht="38.25" x14ac:dyDescent="0.2">
      <c r="A297" s="74">
        <v>420223235</v>
      </c>
      <c r="B297" s="82" t="s">
        <v>211</v>
      </c>
      <c r="C297" s="98" t="s">
        <v>212</v>
      </c>
      <c r="D297" s="41">
        <f>575.3+111</f>
        <v>686.3</v>
      </c>
      <c r="E297" s="41">
        <v>575.29999999999995</v>
      </c>
      <c r="F297" s="41">
        <v>575.29999999999995</v>
      </c>
    </row>
    <row r="298" spans="1:6" ht="51" x14ac:dyDescent="0.2">
      <c r="A298" s="74">
        <v>420223240</v>
      </c>
      <c r="B298" s="82"/>
      <c r="C298" s="98" t="s">
        <v>658</v>
      </c>
      <c r="D298" s="41">
        <f>D299</f>
        <v>548.5</v>
      </c>
      <c r="E298" s="41">
        <f t="shared" ref="E298:F298" si="89">E299</f>
        <v>436.8</v>
      </c>
      <c r="F298" s="41">
        <f t="shared" si="89"/>
        <v>436.8</v>
      </c>
    </row>
    <row r="299" spans="1:6" ht="38.25" x14ac:dyDescent="0.2">
      <c r="A299" s="74">
        <v>420223240</v>
      </c>
      <c r="B299" s="82" t="s">
        <v>211</v>
      </c>
      <c r="C299" s="98" t="s">
        <v>212</v>
      </c>
      <c r="D299" s="41">
        <f>436.8+111.7</f>
        <v>548.5</v>
      </c>
      <c r="E299" s="41">
        <v>436.8</v>
      </c>
      <c r="F299" s="41">
        <v>436.8</v>
      </c>
    </row>
    <row r="300" spans="1:6" ht="77.25" customHeight="1" x14ac:dyDescent="0.2">
      <c r="A300" s="75">
        <v>430000000</v>
      </c>
      <c r="B300" s="16"/>
      <c r="C300" s="46" t="s">
        <v>642</v>
      </c>
      <c r="D300" s="39">
        <f>D301+D306</f>
        <v>15262.699999999999</v>
      </c>
      <c r="E300" s="39">
        <f>E301+E306</f>
        <v>6305.9</v>
      </c>
      <c r="F300" s="39">
        <f>F301+F306</f>
        <v>5339.7000000000007</v>
      </c>
    </row>
    <row r="301" spans="1:6" ht="51" x14ac:dyDescent="0.2">
      <c r="A301" s="74">
        <v>430100000</v>
      </c>
      <c r="B301" s="30"/>
      <c r="C301" s="97" t="s">
        <v>233</v>
      </c>
      <c r="D301" s="39">
        <f>D302+D304</f>
        <v>1380.9</v>
      </c>
      <c r="E301" s="39">
        <f t="shared" ref="E301:F301" si="90">E302+E304</f>
        <v>1180.9000000000001</v>
      </c>
      <c r="F301" s="39">
        <f t="shared" si="90"/>
        <v>1180.9000000000001</v>
      </c>
    </row>
    <row r="302" spans="1:6" ht="102" x14ac:dyDescent="0.2">
      <c r="A302" s="79">
        <v>430127310</v>
      </c>
      <c r="B302" s="16"/>
      <c r="C302" s="98" t="s">
        <v>591</v>
      </c>
      <c r="D302" s="41">
        <f>D303</f>
        <v>1200</v>
      </c>
      <c r="E302" s="41">
        <f>E303</f>
        <v>1000</v>
      </c>
      <c r="F302" s="41">
        <f>F303</f>
        <v>1000</v>
      </c>
    </row>
    <row r="303" spans="1:6" ht="63.75" x14ac:dyDescent="0.2">
      <c r="A303" s="79">
        <v>430127310</v>
      </c>
      <c r="B303" s="16" t="s">
        <v>12</v>
      </c>
      <c r="C303" s="98" t="s">
        <v>318</v>
      </c>
      <c r="D303" s="41">
        <v>1200</v>
      </c>
      <c r="E303" s="41">
        <v>1000</v>
      </c>
      <c r="F303" s="41">
        <v>1000</v>
      </c>
    </row>
    <row r="304" spans="1:6" ht="102" customHeight="1" x14ac:dyDescent="0.2">
      <c r="A304" s="79">
        <v>430127320</v>
      </c>
      <c r="B304" s="16"/>
      <c r="C304" s="98" t="s">
        <v>479</v>
      </c>
      <c r="D304" s="41">
        <f>D305</f>
        <v>180.9</v>
      </c>
      <c r="E304" s="41">
        <f t="shared" ref="E304:F304" si="91">E305</f>
        <v>180.9</v>
      </c>
      <c r="F304" s="41">
        <f t="shared" si="91"/>
        <v>180.9</v>
      </c>
    </row>
    <row r="305" spans="1:6" ht="63.75" x14ac:dyDescent="0.2">
      <c r="A305" s="79">
        <v>430127320</v>
      </c>
      <c r="B305" s="16" t="s">
        <v>12</v>
      </c>
      <c r="C305" s="98" t="s">
        <v>318</v>
      </c>
      <c r="D305" s="41">
        <v>180.9</v>
      </c>
      <c r="E305" s="41">
        <v>180.9</v>
      </c>
      <c r="F305" s="41">
        <v>180.9</v>
      </c>
    </row>
    <row r="306" spans="1:6" ht="38.25" x14ac:dyDescent="0.2">
      <c r="A306" s="74">
        <v>430200000</v>
      </c>
      <c r="B306" s="82"/>
      <c r="C306" s="97" t="s">
        <v>293</v>
      </c>
      <c r="D306" s="41">
        <f>D307+D309+D311+D313+D315+D317</f>
        <v>13881.8</v>
      </c>
      <c r="E306" s="41">
        <f t="shared" ref="E306:F306" si="92">E307+E309+E311+E313+E315+E317</f>
        <v>5125</v>
      </c>
      <c r="F306" s="41">
        <f t="shared" si="92"/>
        <v>4158.8</v>
      </c>
    </row>
    <row r="307" spans="1:6" ht="102" x14ac:dyDescent="0.2">
      <c r="A307" s="74">
        <v>430227340</v>
      </c>
      <c r="B307" s="16"/>
      <c r="C307" s="98" t="s">
        <v>605</v>
      </c>
      <c r="D307" s="39">
        <f>D308</f>
        <v>1364</v>
      </c>
      <c r="E307" s="39">
        <f t="shared" ref="E307:F307" si="93">E308</f>
        <v>1364</v>
      </c>
      <c r="F307" s="39">
        <f t="shared" si="93"/>
        <v>1364</v>
      </c>
    </row>
    <row r="308" spans="1:6" ht="63.75" x14ac:dyDescent="0.2">
      <c r="A308" s="74">
        <v>430227340</v>
      </c>
      <c r="B308" s="16" t="s">
        <v>12</v>
      </c>
      <c r="C308" s="98" t="s">
        <v>318</v>
      </c>
      <c r="D308" s="39">
        <v>1364</v>
      </c>
      <c r="E308" s="39">
        <v>1364</v>
      </c>
      <c r="F308" s="39">
        <v>1364</v>
      </c>
    </row>
    <row r="309" spans="1:6" ht="114.75" x14ac:dyDescent="0.2">
      <c r="A309" s="74">
        <v>430227350</v>
      </c>
      <c r="B309" s="16"/>
      <c r="C309" s="98" t="s">
        <v>596</v>
      </c>
      <c r="D309" s="39">
        <f>D310</f>
        <v>25.5</v>
      </c>
      <c r="E309" s="39">
        <f t="shared" ref="E309:F309" si="94">E310</f>
        <v>25.5</v>
      </c>
      <c r="F309" s="39">
        <f t="shared" si="94"/>
        <v>25.5</v>
      </c>
    </row>
    <row r="310" spans="1:6" ht="63.75" x14ac:dyDescent="0.2">
      <c r="A310" s="74">
        <v>430227350</v>
      </c>
      <c r="B310" s="16" t="s">
        <v>12</v>
      </c>
      <c r="C310" s="98" t="s">
        <v>318</v>
      </c>
      <c r="D310" s="39">
        <v>25.5</v>
      </c>
      <c r="E310" s="39">
        <v>25.5</v>
      </c>
      <c r="F310" s="39">
        <v>25.5</v>
      </c>
    </row>
    <row r="311" spans="1:6" ht="114.75" x14ac:dyDescent="0.2">
      <c r="A311" s="74">
        <v>430227360</v>
      </c>
      <c r="B311" s="16"/>
      <c r="C311" s="98" t="s">
        <v>597</v>
      </c>
      <c r="D311" s="39">
        <f>D312</f>
        <v>5593.6</v>
      </c>
      <c r="E311" s="39">
        <f t="shared" ref="E311:F311" si="95">E312</f>
        <v>1661.6</v>
      </c>
      <c r="F311" s="39">
        <f t="shared" si="95"/>
        <v>1661.6</v>
      </c>
    </row>
    <row r="312" spans="1:6" ht="63.75" x14ac:dyDescent="0.2">
      <c r="A312" s="74">
        <v>430227360</v>
      </c>
      <c r="B312" s="16" t="s">
        <v>12</v>
      </c>
      <c r="C312" s="98" t="s">
        <v>318</v>
      </c>
      <c r="D312" s="39">
        <f>5293.6+300</f>
        <v>5593.6</v>
      </c>
      <c r="E312" s="39">
        <v>1661.6</v>
      </c>
      <c r="F312" s="39">
        <v>1661.6</v>
      </c>
    </row>
    <row r="313" spans="1:6" ht="165.75" x14ac:dyDescent="0.2">
      <c r="A313" s="74">
        <v>430227370</v>
      </c>
      <c r="B313" s="16"/>
      <c r="C313" s="98" t="s">
        <v>606</v>
      </c>
      <c r="D313" s="39">
        <f>D314</f>
        <v>1000</v>
      </c>
      <c r="E313" s="39">
        <f t="shared" ref="E313:F313" si="96">E314</f>
        <v>1107.7</v>
      </c>
      <c r="F313" s="39">
        <f t="shared" si="96"/>
        <v>1107.7</v>
      </c>
    </row>
    <row r="314" spans="1:6" ht="63.75" x14ac:dyDescent="0.2">
      <c r="A314" s="74">
        <v>430227370</v>
      </c>
      <c r="B314" s="16" t="s">
        <v>12</v>
      </c>
      <c r="C314" s="98" t="s">
        <v>318</v>
      </c>
      <c r="D314" s="39">
        <v>1000</v>
      </c>
      <c r="E314" s="39">
        <v>1107.7</v>
      </c>
      <c r="F314" s="39">
        <v>1107.7</v>
      </c>
    </row>
    <row r="315" spans="1:6" ht="113.25" customHeight="1" x14ac:dyDescent="0.2">
      <c r="A315" s="74">
        <v>430227390</v>
      </c>
      <c r="B315" s="16"/>
      <c r="C315" s="98" t="s">
        <v>641</v>
      </c>
      <c r="D315" s="39">
        <f>D316</f>
        <v>2898.7</v>
      </c>
      <c r="E315" s="39">
        <f t="shared" ref="E315:F315" si="97">E316</f>
        <v>966.2</v>
      </c>
      <c r="F315" s="39">
        <f t="shared" si="97"/>
        <v>0</v>
      </c>
    </row>
    <row r="316" spans="1:6" ht="63.75" x14ac:dyDescent="0.2">
      <c r="A316" s="74">
        <v>430227390</v>
      </c>
      <c r="B316" s="16" t="s">
        <v>12</v>
      </c>
      <c r="C316" s="98" t="s">
        <v>318</v>
      </c>
      <c r="D316" s="39">
        <v>2898.7</v>
      </c>
      <c r="E316" s="39">
        <v>966.2</v>
      </c>
      <c r="F316" s="39">
        <v>0</v>
      </c>
    </row>
    <row r="317" spans="1:6" ht="102" x14ac:dyDescent="0.2">
      <c r="A317" s="74">
        <v>430227400</v>
      </c>
      <c r="B317" s="16"/>
      <c r="C317" s="98" t="s">
        <v>717</v>
      </c>
      <c r="D317" s="39">
        <f>D318</f>
        <v>3000</v>
      </c>
      <c r="E317" s="39">
        <f t="shared" ref="E317:F317" si="98">E318</f>
        <v>0</v>
      </c>
      <c r="F317" s="39">
        <f t="shared" si="98"/>
        <v>0</v>
      </c>
    </row>
    <row r="318" spans="1:6" ht="63.75" x14ac:dyDescent="0.2">
      <c r="A318" s="74">
        <v>430227400</v>
      </c>
      <c r="B318" s="16" t="s">
        <v>12</v>
      </c>
      <c r="C318" s="98" t="s">
        <v>318</v>
      </c>
      <c r="D318" s="39">
        <f>2000+1000</f>
        <v>3000</v>
      </c>
      <c r="E318" s="39">
        <v>0</v>
      </c>
      <c r="F318" s="39">
        <v>0</v>
      </c>
    </row>
    <row r="319" spans="1:6" ht="75.75" customHeight="1" x14ac:dyDescent="0.2">
      <c r="A319" s="73" t="s">
        <v>154</v>
      </c>
      <c r="B319" s="16"/>
      <c r="C319" s="141" t="s">
        <v>574</v>
      </c>
      <c r="D319" s="96">
        <f>D320+D328+D343</f>
        <v>4539.3</v>
      </c>
      <c r="E319" s="96">
        <f>E320+E328+E343</f>
        <v>5761.3</v>
      </c>
      <c r="F319" s="96">
        <f>F320+F328+F343</f>
        <v>2611.3000000000002</v>
      </c>
    </row>
    <row r="320" spans="1:6" ht="38.25" x14ac:dyDescent="0.2">
      <c r="A320" s="52" t="s">
        <v>150</v>
      </c>
      <c r="B320" s="16"/>
      <c r="C320" s="48" t="s">
        <v>297</v>
      </c>
      <c r="D320" s="93">
        <f>D321+D325</f>
        <v>1347.3</v>
      </c>
      <c r="E320" s="93">
        <f>E321+E325</f>
        <v>950</v>
      </c>
      <c r="F320" s="93">
        <f>F321+F325</f>
        <v>950</v>
      </c>
    </row>
    <row r="321" spans="1:6" ht="38.25" x14ac:dyDescent="0.2">
      <c r="A321" s="21" t="s">
        <v>262</v>
      </c>
      <c r="B321" s="16"/>
      <c r="C321" s="99" t="s">
        <v>264</v>
      </c>
      <c r="D321" s="93">
        <f>D322</f>
        <v>1123.8</v>
      </c>
      <c r="E321" s="93">
        <f>E322</f>
        <v>150</v>
      </c>
      <c r="F321" s="93">
        <f>F322</f>
        <v>150</v>
      </c>
    </row>
    <row r="322" spans="1:6" ht="38.25" x14ac:dyDescent="0.25">
      <c r="A322" s="136" t="s">
        <v>480</v>
      </c>
      <c r="B322" s="3"/>
      <c r="C322" s="98" t="s">
        <v>263</v>
      </c>
      <c r="D322" s="41">
        <f>SUM(D323:D324)</f>
        <v>1123.8</v>
      </c>
      <c r="E322" s="41">
        <f t="shared" ref="E322:F322" si="99">SUM(E323:E324)</f>
        <v>150</v>
      </c>
      <c r="F322" s="41">
        <f t="shared" si="99"/>
        <v>150</v>
      </c>
    </row>
    <row r="323" spans="1:6" ht="38.25" x14ac:dyDescent="0.2">
      <c r="A323" s="136" t="s">
        <v>480</v>
      </c>
      <c r="B323" s="82" t="s">
        <v>211</v>
      </c>
      <c r="C323" s="98" t="s">
        <v>212</v>
      </c>
      <c r="D323" s="41">
        <f>1378.5-59.3-0.2-195.4</f>
        <v>1123.5999999999999</v>
      </c>
      <c r="E323" s="41">
        <v>150</v>
      </c>
      <c r="F323" s="41">
        <v>150</v>
      </c>
    </row>
    <row r="324" spans="1:6" x14ac:dyDescent="0.2">
      <c r="A324" s="136" t="s">
        <v>480</v>
      </c>
      <c r="B324" s="82" t="s">
        <v>750</v>
      </c>
      <c r="C324" s="173" t="s">
        <v>751</v>
      </c>
      <c r="D324" s="41">
        <v>0.2</v>
      </c>
      <c r="E324" s="41">
        <v>0</v>
      </c>
      <c r="F324" s="41">
        <v>0</v>
      </c>
    </row>
    <row r="325" spans="1:6" ht="38.25" x14ac:dyDescent="0.2">
      <c r="A325" s="21" t="s">
        <v>298</v>
      </c>
      <c r="B325" s="16"/>
      <c r="C325" s="99" t="s">
        <v>265</v>
      </c>
      <c r="D325" s="93">
        <f t="shared" ref="D325:F325" si="100">D326</f>
        <v>223.5</v>
      </c>
      <c r="E325" s="93">
        <f t="shared" si="100"/>
        <v>800</v>
      </c>
      <c r="F325" s="93">
        <f t="shared" si="100"/>
        <v>800</v>
      </c>
    </row>
    <row r="326" spans="1:6" ht="25.5" x14ac:dyDescent="0.25">
      <c r="A326" s="21" t="s">
        <v>481</v>
      </c>
      <c r="B326" s="3"/>
      <c r="C326" s="98" t="s">
        <v>335</v>
      </c>
      <c r="D326" s="41">
        <f>D327</f>
        <v>223.5</v>
      </c>
      <c r="E326" s="41">
        <f>E327</f>
        <v>800</v>
      </c>
      <c r="F326" s="41">
        <f>F327</f>
        <v>800</v>
      </c>
    </row>
    <row r="327" spans="1:6" ht="38.25" x14ac:dyDescent="0.2">
      <c r="A327" s="21" t="s">
        <v>481</v>
      </c>
      <c r="B327" s="82" t="s">
        <v>211</v>
      </c>
      <c r="C327" s="98" t="s">
        <v>212</v>
      </c>
      <c r="D327" s="39">
        <f>123.5+100</f>
        <v>223.5</v>
      </c>
      <c r="E327" s="39">
        <v>800</v>
      </c>
      <c r="F327" s="39">
        <v>800</v>
      </c>
    </row>
    <row r="328" spans="1:6" ht="38.25" x14ac:dyDescent="0.2">
      <c r="A328" s="52" t="s">
        <v>151</v>
      </c>
      <c r="B328" s="16"/>
      <c r="C328" s="48" t="s">
        <v>148</v>
      </c>
      <c r="D328" s="93">
        <f>D329+D336</f>
        <v>1207</v>
      </c>
      <c r="E328" s="93">
        <f t="shared" ref="E328:F328" si="101">E329+E336</f>
        <v>1510</v>
      </c>
      <c r="F328" s="93">
        <f t="shared" si="101"/>
        <v>200</v>
      </c>
    </row>
    <row r="329" spans="1:6" ht="25.5" x14ac:dyDescent="0.2">
      <c r="A329" s="21" t="s">
        <v>266</v>
      </c>
      <c r="B329" s="82"/>
      <c r="C329" s="99" t="s">
        <v>267</v>
      </c>
      <c r="D329" s="93">
        <f>D330+D332+D334</f>
        <v>101.7</v>
      </c>
      <c r="E329" s="93">
        <f t="shared" ref="E329:F329" si="102">E330+E332+E334</f>
        <v>290</v>
      </c>
      <c r="F329" s="93">
        <f t="shared" si="102"/>
        <v>200</v>
      </c>
    </row>
    <row r="330" spans="1:6" ht="114.75" x14ac:dyDescent="0.25">
      <c r="A330" s="79">
        <v>520123261</v>
      </c>
      <c r="B330" s="3"/>
      <c r="C330" s="98" t="s">
        <v>268</v>
      </c>
      <c r="D330" s="41">
        <f>D331</f>
        <v>0</v>
      </c>
      <c r="E330" s="41">
        <f>E331</f>
        <v>100</v>
      </c>
      <c r="F330" s="41">
        <f>F331</f>
        <v>0</v>
      </c>
    </row>
    <row r="331" spans="1:6" ht="38.25" x14ac:dyDescent="0.2">
      <c r="A331" s="79">
        <v>520123261</v>
      </c>
      <c r="B331" s="82" t="s">
        <v>211</v>
      </c>
      <c r="C331" s="98" t="s">
        <v>212</v>
      </c>
      <c r="D331" s="41">
        <v>0</v>
      </c>
      <c r="E331" s="41">
        <v>100</v>
      </c>
      <c r="F331" s="41">
        <v>0</v>
      </c>
    </row>
    <row r="332" spans="1:6" ht="38.25" x14ac:dyDescent="0.2">
      <c r="A332" s="79">
        <v>520123262</v>
      </c>
      <c r="B332" s="16"/>
      <c r="C332" s="98" t="s">
        <v>299</v>
      </c>
      <c r="D332" s="41">
        <f>D333</f>
        <v>0</v>
      </c>
      <c r="E332" s="41">
        <f>E333</f>
        <v>20</v>
      </c>
      <c r="F332" s="41">
        <f>F333</f>
        <v>20</v>
      </c>
    </row>
    <row r="333" spans="1:6" ht="38.25" x14ac:dyDescent="0.2">
      <c r="A333" s="79">
        <v>520123262</v>
      </c>
      <c r="B333" s="82" t="s">
        <v>211</v>
      </c>
      <c r="C333" s="98" t="s">
        <v>212</v>
      </c>
      <c r="D333" s="41">
        <v>0</v>
      </c>
      <c r="E333" s="41">
        <v>20</v>
      </c>
      <c r="F333" s="41">
        <v>20</v>
      </c>
    </row>
    <row r="334" spans="1:6" ht="16.5" customHeight="1" x14ac:dyDescent="0.2">
      <c r="A334" s="136" t="s">
        <v>482</v>
      </c>
      <c r="B334" s="82"/>
      <c r="C334" s="98" t="s">
        <v>483</v>
      </c>
      <c r="D334" s="41">
        <f>D335</f>
        <v>101.7</v>
      </c>
      <c r="E334" s="41">
        <f>E335</f>
        <v>170</v>
      </c>
      <c r="F334" s="41">
        <f>F335</f>
        <v>180</v>
      </c>
    </row>
    <row r="335" spans="1:6" ht="38.25" x14ac:dyDescent="0.2">
      <c r="A335" s="136" t="s">
        <v>482</v>
      </c>
      <c r="B335" s="82" t="s">
        <v>211</v>
      </c>
      <c r="C335" s="98" t="s">
        <v>212</v>
      </c>
      <c r="D335" s="41">
        <f>160-58.3</f>
        <v>101.7</v>
      </c>
      <c r="E335" s="41">
        <v>170</v>
      </c>
      <c r="F335" s="41">
        <v>180</v>
      </c>
    </row>
    <row r="336" spans="1:6" ht="25.5" x14ac:dyDescent="0.2">
      <c r="A336" s="21" t="s">
        <v>269</v>
      </c>
      <c r="B336" s="82"/>
      <c r="C336" s="99" t="s">
        <v>484</v>
      </c>
      <c r="D336" s="41">
        <f>D337+D339+D341</f>
        <v>1105.3</v>
      </c>
      <c r="E336" s="41">
        <f t="shared" ref="E336:F336" si="103">E337+E339+E341</f>
        <v>1220</v>
      </c>
      <c r="F336" s="41">
        <f t="shared" si="103"/>
        <v>0</v>
      </c>
    </row>
    <row r="337" spans="1:6" ht="38.25" x14ac:dyDescent="0.2">
      <c r="A337" s="79">
        <v>520223264</v>
      </c>
      <c r="B337" s="82"/>
      <c r="C337" s="98" t="s">
        <v>762</v>
      </c>
      <c r="D337" s="41">
        <f>D338</f>
        <v>905.3</v>
      </c>
      <c r="E337" s="41">
        <f t="shared" ref="E337:F337" si="104">E338</f>
        <v>0</v>
      </c>
      <c r="F337" s="41">
        <f t="shared" si="104"/>
        <v>0</v>
      </c>
    </row>
    <row r="338" spans="1:6" x14ac:dyDescent="0.2">
      <c r="A338" s="79">
        <v>520223264</v>
      </c>
      <c r="B338" s="82" t="s">
        <v>131</v>
      </c>
      <c r="C338" s="98" t="s">
        <v>132</v>
      </c>
      <c r="D338" s="41">
        <v>905.3</v>
      </c>
      <c r="E338" s="41">
        <v>0</v>
      </c>
      <c r="F338" s="41">
        <v>0</v>
      </c>
    </row>
    <row r="339" spans="1:6" ht="51" customHeight="1" x14ac:dyDescent="0.2">
      <c r="A339" s="79">
        <v>520223265</v>
      </c>
      <c r="B339" s="82"/>
      <c r="C339" s="98" t="s">
        <v>485</v>
      </c>
      <c r="D339" s="41">
        <f>D340</f>
        <v>0</v>
      </c>
      <c r="E339" s="41">
        <f>E340</f>
        <v>1220</v>
      </c>
      <c r="F339" s="41">
        <f>F340</f>
        <v>0</v>
      </c>
    </row>
    <row r="340" spans="1:6" x14ac:dyDescent="0.2">
      <c r="A340" s="79">
        <v>520223265</v>
      </c>
      <c r="B340" s="82" t="s">
        <v>248</v>
      </c>
      <c r="C340" s="99" t="s">
        <v>271</v>
      </c>
      <c r="D340" s="41">
        <f>2890-2890</f>
        <v>0</v>
      </c>
      <c r="E340" s="41">
        <v>1220</v>
      </c>
      <c r="F340" s="41">
        <v>0</v>
      </c>
    </row>
    <row r="341" spans="1:6" ht="25.5" x14ac:dyDescent="0.2">
      <c r="A341" s="21" t="s">
        <v>486</v>
      </c>
      <c r="B341" s="82"/>
      <c r="C341" s="99" t="s">
        <v>272</v>
      </c>
      <c r="D341" s="41">
        <f>D342</f>
        <v>200</v>
      </c>
      <c r="E341" s="41">
        <f>E342</f>
        <v>0</v>
      </c>
      <c r="F341" s="41">
        <f>F342</f>
        <v>0</v>
      </c>
    </row>
    <row r="342" spans="1:6" ht="38.25" x14ac:dyDescent="0.2">
      <c r="A342" s="21" t="s">
        <v>486</v>
      </c>
      <c r="B342" s="82" t="s">
        <v>211</v>
      </c>
      <c r="C342" s="98" t="s">
        <v>212</v>
      </c>
      <c r="D342" s="41">
        <v>200</v>
      </c>
      <c r="E342" s="39">
        <v>0</v>
      </c>
      <c r="F342" s="39">
        <v>0</v>
      </c>
    </row>
    <row r="343" spans="1:6" ht="51" x14ac:dyDescent="0.2">
      <c r="A343" s="52" t="s">
        <v>152</v>
      </c>
      <c r="B343" s="16"/>
      <c r="C343" s="48" t="s">
        <v>149</v>
      </c>
      <c r="D343" s="93">
        <f>D344+D347</f>
        <v>1985</v>
      </c>
      <c r="E343" s="93">
        <f>E344+E347</f>
        <v>3301.3</v>
      </c>
      <c r="F343" s="93">
        <f>F344+F347</f>
        <v>1461.3</v>
      </c>
    </row>
    <row r="344" spans="1:6" ht="62.25" customHeight="1" x14ac:dyDescent="0.2">
      <c r="A344" s="21" t="s">
        <v>273</v>
      </c>
      <c r="B344" s="82"/>
      <c r="C344" s="99" t="s">
        <v>310</v>
      </c>
      <c r="D344" s="39">
        <f t="shared" ref="D344:F345" si="105">D345</f>
        <v>1985</v>
      </c>
      <c r="E344" s="39">
        <f t="shared" si="105"/>
        <v>1461.3</v>
      </c>
      <c r="F344" s="39">
        <f t="shared" si="105"/>
        <v>1461.3</v>
      </c>
    </row>
    <row r="345" spans="1:6" ht="63.75" x14ac:dyDescent="0.2">
      <c r="A345" s="79">
        <v>530123271</v>
      </c>
      <c r="B345" s="16"/>
      <c r="C345" s="98" t="s">
        <v>153</v>
      </c>
      <c r="D345" s="41">
        <f t="shared" si="105"/>
        <v>1985</v>
      </c>
      <c r="E345" s="41">
        <f t="shared" si="105"/>
        <v>1461.3</v>
      </c>
      <c r="F345" s="41">
        <f t="shared" si="105"/>
        <v>1461.3</v>
      </c>
    </row>
    <row r="346" spans="1:6" ht="38.25" x14ac:dyDescent="0.2">
      <c r="A346" s="79">
        <v>530123271</v>
      </c>
      <c r="B346" s="82" t="s">
        <v>211</v>
      </c>
      <c r="C346" s="98" t="s">
        <v>212</v>
      </c>
      <c r="D346" s="147">
        <f>961.3+456.1+59.3+253.7+104.6+150</f>
        <v>1985</v>
      </c>
      <c r="E346" s="1">
        <v>1461.3</v>
      </c>
      <c r="F346" s="1">
        <v>1461.3</v>
      </c>
    </row>
    <row r="347" spans="1:6" ht="51" x14ac:dyDescent="0.2">
      <c r="A347" s="21" t="s">
        <v>274</v>
      </c>
      <c r="B347" s="16"/>
      <c r="C347" s="99" t="s">
        <v>487</v>
      </c>
      <c r="D347" s="41">
        <f t="shared" ref="D347:F348" si="106">D348</f>
        <v>0</v>
      </c>
      <c r="E347" s="41">
        <f t="shared" si="106"/>
        <v>1840</v>
      </c>
      <c r="F347" s="41">
        <f t="shared" si="106"/>
        <v>0</v>
      </c>
    </row>
    <row r="348" spans="1:6" ht="39" customHeight="1" x14ac:dyDescent="0.2">
      <c r="A348" s="79">
        <v>530223272</v>
      </c>
      <c r="B348" s="16"/>
      <c r="C348" s="98" t="s">
        <v>488</v>
      </c>
      <c r="D348" s="41">
        <f t="shared" si="106"/>
        <v>0</v>
      </c>
      <c r="E348" s="41">
        <f t="shared" si="106"/>
        <v>1840</v>
      </c>
      <c r="F348" s="41">
        <f t="shared" si="106"/>
        <v>0</v>
      </c>
    </row>
    <row r="349" spans="1:6" ht="38.25" x14ac:dyDescent="0.2">
      <c r="A349" s="79">
        <v>530223272</v>
      </c>
      <c r="B349" s="82" t="s">
        <v>211</v>
      </c>
      <c r="C349" s="98" t="s">
        <v>212</v>
      </c>
      <c r="D349" s="41">
        <v>0</v>
      </c>
      <c r="E349" s="41">
        <v>1840</v>
      </c>
      <c r="F349" s="41">
        <v>0</v>
      </c>
    </row>
    <row r="350" spans="1:6" ht="79.5" customHeight="1" x14ac:dyDescent="0.2">
      <c r="A350" s="78" t="s">
        <v>65</v>
      </c>
      <c r="B350" s="16"/>
      <c r="C350" s="63" t="s">
        <v>573</v>
      </c>
      <c r="D350" s="96">
        <f t="shared" ref="D350:F353" si="107">D351</f>
        <v>529.29999999999995</v>
      </c>
      <c r="E350" s="96">
        <f t="shared" si="107"/>
        <v>529.30000000000007</v>
      </c>
      <c r="F350" s="96">
        <f t="shared" si="107"/>
        <v>529.30000000000007</v>
      </c>
    </row>
    <row r="351" spans="1:6" ht="40.5" customHeight="1" x14ac:dyDescent="0.2">
      <c r="A351" s="77" t="s">
        <v>66</v>
      </c>
      <c r="B351" s="16"/>
      <c r="C351" s="60" t="s">
        <v>491</v>
      </c>
      <c r="D351" s="93">
        <f t="shared" si="107"/>
        <v>529.29999999999995</v>
      </c>
      <c r="E351" s="93">
        <f t="shared" si="107"/>
        <v>529.30000000000007</v>
      </c>
      <c r="F351" s="93">
        <f t="shared" si="107"/>
        <v>529.30000000000007</v>
      </c>
    </row>
    <row r="352" spans="1:6" ht="63.75" x14ac:dyDescent="0.2">
      <c r="A352" s="74">
        <v>610100000</v>
      </c>
      <c r="B352" s="16"/>
      <c r="C352" s="98" t="s">
        <v>490</v>
      </c>
      <c r="D352" s="39">
        <f>D353+D355</f>
        <v>529.29999999999995</v>
      </c>
      <c r="E352" s="39">
        <f t="shared" ref="E352:F352" si="108">E353+E355</f>
        <v>529.30000000000007</v>
      </c>
      <c r="F352" s="39">
        <f t="shared" si="108"/>
        <v>529.30000000000007</v>
      </c>
    </row>
    <row r="353" spans="1:7" ht="38.25" x14ac:dyDescent="0.2">
      <c r="A353" s="137" t="s">
        <v>489</v>
      </c>
      <c r="B353" s="16"/>
      <c r="C353" s="98" t="s">
        <v>599</v>
      </c>
      <c r="D353" s="41">
        <f t="shared" ref="D353" si="109">D354</f>
        <v>521.4</v>
      </c>
      <c r="E353" s="41">
        <f t="shared" si="107"/>
        <v>522.1</v>
      </c>
      <c r="F353" s="41">
        <f t="shared" si="107"/>
        <v>522.1</v>
      </c>
    </row>
    <row r="354" spans="1:7" ht="38.25" x14ac:dyDescent="0.2">
      <c r="A354" s="137" t="s">
        <v>489</v>
      </c>
      <c r="B354" s="82" t="s">
        <v>211</v>
      </c>
      <c r="C354" s="98" t="s">
        <v>212</v>
      </c>
      <c r="D354" s="41">
        <f>522.1-0.7</f>
        <v>521.4</v>
      </c>
      <c r="E354" s="41">
        <v>522.1</v>
      </c>
      <c r="F354" s="41">
        <v>522.1</v>
      </c>
    </row>
    <row r="355" spans="1:7" ht="30" customHeight="1" x14ac:dyDescent="0.2">
      <c r="A355" s="137" t="s">
        <v>542</v>
      </c>
      <c r="B355" s="82"/>
      <c r="C355" s="98" t="s">
        <v>543</v>
      </c>
      <c r="D355" s="41">
        <f>D356</f>
        <v>7.9</v>
      </c>
      <c r="E355" s="41">
        <f t="shared" ref="E355:F355" si="110">E356</f>
        <v>7.2</v>
      </c>
      <c r="F355" s="41">
        <f t="shared" si="110"/>
        <v>7.2</v>
      </c>
    </row>
    <row r="356" spans="1:7" ht="38.25" x14ac:dyDescent="0.2">
      <c r="A356" s="137" t="s">
        <v>542</v>
      </c>
      <c r="B356" s="82" t="s">
        <v>211</v>
      </c>
      <c r="C356" s="98" t="s">
        <v>212</v>
      </c>
      <c r="D356" s="41">
        <f>7.2+0.7</f>
        <v>7.9</v>
      </c>
      <c r="E356" s="41">
        <v>7.2</v>
      </c>
      <c r="F356" s="41">
        <v>7.2</v>
      </c>
    </row>
    <row r="357" spans="1:7" ht="90" customHeight="1" x14ac:dyDescent="0.2">
      <c r="A357" s="81" t="s">
        <v>32</v>
      </c>
      <c r="B357" s="16"/>
      <c r="C357" s="53" t="s">
        <v>577</v>
      </c>
      <c r="D357" s="96">
        <f>D358+D367+D379</f>
        <v>38891.499999999993</v>
      </c>
      <c r="E357" s="96">
        <f>E358+E367+E379</f>
        <v>8362.7999999999993</v>
      </c>
      <c r="F357" s="96">
        <f>F358+F367+F379</f>
        <v>8325.2000000000007</v>
      </c>
    </row>
    <row r="358" spans="1:7" ht="25.5" customHeight="1" x14ac:dyDescent="0.2">
      <c r="A358" s="52" t="s">
        <v>33</v>
      </c>
      <c r="B358" s="16"/>
      <c r="C358" s="48" t="s">
        <v>546</v>
      </c>
      <c r="D358" s="93">
        <f>D359+D362</f>
        <v>686.9</v>
      </c>
      <c r="E358" s="93">
        <f>E359+E362</f>
        <v>685</v>
      </c>
      <c r="F358" s="93">
        <f>F359+F362</f>
        <v>530</v>
      </c>
      <c r="G358" s="103"/>
    </row>
    <row r="359" spans="1:7" ht="38.25" x14ac:dyDescent="0.2">
      <c r="A359" s="21" t="s">
        <v>235</v>
      </c>
      <c r="B359" s="16"/>
      <c r="C359" s="99" t="s">
        <v>234</v>
      </c>
      <c r="D359" s="93">
        <f t="shared" ref="D359:F360" si="111">D360</f>
        <v>521.9</v>
      </c>
      <c r="E359" s="93">
        <f t="shared" si="111"/>
        <v>510</v>
      </c>
      <c r="F359" s="93">
        <f t="shared" si="111"/>
        <v>510</v>
      </c>
    </row>
    <row r="360" spans="1:7" ht="25.5" x14ac:dyDescent="0.25">
      <c r="A360" s="21" t="s">
        <v>492</v>
      </c>
      <c r="B360" s="3"/>
      <c r="C360" s="98" t="s">
        <v>188</v>
      </c>
      <c r="D360" s="41">
        <f t="shared" si="111"/>
        <v>521.9</v>
      </c>
      <c r="E360" s="41">
        <f t="shared" si="111"/>
        <v>510</v>
      </c>
      <c r="F360" s="41">
        <f t="shared" si="111"/>
        <v>510</v>
      </c>
    </row>
    <row r="361" spans="1:7" ht="38.25" x14ac:dyDescent="0.2">
      <c r="A361" s="21" t="s">
        <v>492</v>
      </c>
      <c r="B361" s="82" t="s">
        <v>211</v>
      </c>
      <c r="C361" s="98" t="s">
        <v>212</v>
      </c>
      <c r="D361" s="41">
        <f>510+11.9</f>
        <v>521.9</v>
      </c>
      <c r="E361" s="41">
        <v>510</v>
      </c>
      <c r="F361" s="41">
        <v>510</v>
      </c>
      <c r="G361" s="103"/>
    </row>
    <row r="362" spans="1:7" ht="38.25" x14ac:dyDescent="0.2">
      <c r="A362" s="21" t="s">
        <v>494</v>
      </c>
      <c r="B362" s="82"/>
      <c r="C362" s="99" t="s">
        <v>334</v>
      </c>
      <c r="D362" s="41">
        <f>D363+D365</f>
        <v>165</v>
      </c>
      <c r="E362" s="41">
        <f t="shared" ref="E362:F362" si="112">E363+E365</f>
        <v>175</v>
      </c>
      <c r="F362" s="41">
        <f t="shared" si="112"/>
        <v>20</v>
      </c>
      <c r="G362" s="103"/>
    </row>
    <row r="363" spans="1:7" ht="25.5" x14ac:dyDescent="0.2">
      <c r="A363" s="21" t="s">
        <v>493</v>
      </c>
      <c r="B363" s="16"/>
      <c r="C363" s="98" t="s">
        <v>333</v>
      </c>
      <c r="D363" s="41">
        <f>D364</f>
        <v>10</v>
      </c>
      <c r="E363" s="41">
        <f t="shared" ref="E363:F363" si="113">E364</f>
        <v>20</v>
      </c>
      <c r="F363" s="41">
        <f t="shared" si="113"/>
        <v>20</v>
      </c>
      <c r="G363" s="103"/>
    </row>
    <row r="364" spans="1:7" ht="38.25" x14ac:dyDescent="0.2">
      <c r="A364" s="21" t="s">
        <v>493</v>
      </c>
      <c r="B364" s="82" t="s">
        <v>211</v>
      </c>
      <c r="C364" s="98" t="s">
        <v>212</v>
      </c>
      <c r="D364" s="41">
        <v>10</v>
      </c>
      <c r="E364" s="41">
        <v>20</v>
      </c>
      <c r="F364" s="41">
        <v>20</v>
      </c>
      <c r="G364" s="103"/>
    </row>
    <row r="365" spans="1:7" ht="38.25" x14ac:dyDescent="0.2">
      <c r="A365" s="21" t="s">
        <v>547</v>
      </c>
      <c r="B365" s="82"/>
      <c r="C365" s="98" t="s">
        <v>548</v>
      </c>
      <c r="D365" s="41">
        <f>D366</f>
        <v>155</v>
      </c>
      <c r="E365" s="41">
        <f t="shared" ref="E365:F365" si="114">E366</f>
        <v>155</v>
      </c>
      <c r="F365" s="41">
        <f t="shared" si="114"/>
        <v>0</v>
      </c>
      <c r="G365" s="103"/>
    </row>
    <row r="366" spans="1:7" ht="38.25" x14ac:dyDescent="0.2">
      <c r="A366" s="21" t="s">
        <v>547</v>
      </c>
      <c r="B366" s="82" t="s">
        <v>211</v>
      </c>
      <c r="C366" s="98" t="s">
        <v>212</v>
      </c>
      <c r="D366" s="41">
        <v>155</v>
      </c>
      <c r="E366" s="41">
        <v>155</v>
      </c>
      <c r="F366" s="41">
        <v>0</v>
      </c>
      <c r="G366" s="103"/>
    </row>
    <row r="367" spans="1:7" ht="25.5" x14ac:dyDescent="0.2">
      <c r="A367" s="52" t="s">
        <v>368</v>
      </c>
      <c r="B367" s="16"/>
      <c r="C367" s="46" t="s">
        <v>341</v>
      </c>
      <c r="D367" s="93">
        <f>D368+D374</f>
        <v>34985.899999999994</v>
      </c>
      <c r="E367" s="93">
        <f t="shared" ref="E367:F367" si="115">E368+E374</f>
        <v>2850</v>
      </c>
      <c r="F367" s="93">
        <f t="shared" si="115"/>
        <v>2850</v>
      </c>
      <c r="G367" s="103"/>
    </row>
    <row r="368" spans="1:7" ht="38.25" x14ac:dyDescent="0.2">
      <c r="A368" s="21" t="s">
        <v>495</v>
      </c>
      <c r="B368" s="16"/>
      <c r="C368" s="99" t="s">
        <v>302</v>
      </c>
      <c r="D368" s="39">
        <f>D369+D371</f>
        <v>1742.7</v>
      </c>
      <c r="E368" s="39">
        <f t="shared" ref="E368:F368" si="116">E369+E371</f>
        <v>750</v>
      </c>
      <c r="F368" s="39">
        <f t="shared" si="116"/>
        <v>750</v>
      </c>
      <c r="G368" s="103"/>
    </row>
    <row r="369" spans="1:7" ht="36" customHeight="1" x14ac:dyDescent="0.2">
      <c r="A369" s="21" t="s">
        <v>496</v>
      </c>
      <c r="B369" s="16"/>
      <c r="C369" s="97" t="s">
        <v>189</v>
      </c>
      <c r="D369" s="41">
        <f>D370</f>
        <v>200</v>
      </c>
      <c r="E369" s="41">
        <f>E370</f>
        <v>200</v>
      </c>
      <c r="F369" s="41">
        <f>F370</f>
        <v>200</v>
      </c>
      <c r="G369" s="103"/>
    </row>
    <row r="370" spans="1:7" ht="38.25" x14ac:dyDescent="0.2">
      <c r="A370" s="21" t="s">
        <v>496</v>
      </c>
      <c r="B370" s="82" t="s">
        <v>211</v>
      </c>
      <c r="C370" s="98" t="s">
        <v>212</v>
      </c>
      <c r="D370" s="41">
        <v>200</v>
      </c>
      <c r="E370" s="41">
        <v>200</v>
      </c>
      <c r="F370" s="41">
        <v>200</v>
      </c>
      <c r="G370" s="103"/>
    </row>
    <row r="371" spans="1:7" ht="27" customHeight="1" x14ac:dyDescent="0.2">
      <c r="A371" s="21" t="s">
        <v>498</v>
      </c>
      <c r="B371" s="82"/>
      <c r="C371" s="98" t="s">
        <v>497</v>
      </c>
      <c r="D371" s="41">
        <f>SUM(D372:D373)</f>
        <v>1542.7</v>
      </c>
      <c r="E371" s="41">
        <f t="shared" ref="E371:F371" si="117">SUM(E372:E373)</f>
        <v>550</v>
      </c>
      <c r="F371" s="41">
        <f t="shared" si="117"/>
        <v>550</v>
      </c>
      <c r="G371" s="103"/>
    </row>
    <row r="372" spans="1:7" ht="38.25" x14ac:dyDescent="0.2">
      <c r="A372" s="21" t="s">
        <v>498</v>
      </c>
      <c r="B372" s="82" t="s">
        <v>211</v>
      </c>
      <c r="C372" s="98" t="s">
        <v>212</v>
      </c>
      <c r="D372" s="41">
        <f>400+621.2</f>
        <v>1021.2</v>
      </c>
      <c r="E372" s="41">
        <v>550</v>
      </c>
      <c r="F372" s="41">
        <v>550</v>
      </c>
      <c r="G372" s="103"/>
    </row>
    <row r="373" spans="1:7" x14ac:dyDescent="0.2">
      <c r="A373" s="21" t="s">
        <v>498</v>
      </c>
      <c r="B373" s="82" t="s">
        <v>248</v>
      </c>
      <c r="C373" s="99" t="s">
        <v>271</v>
      </c>
      <c r="D373" s="41">
        <v>521.5</v>
      </c>
      <c r="E373" s="41">
        <v>0</v>
      </c>
      <c r="F373" s="41">
        <v>0</v>
      </c>
      <c r="G373" s="103"/>
    </row>
    <row r="374" spans="1:7" ht="38.25" x14ac:dyDescent="0.2">
      <c r="A374" s="21" t="s">
        <v>500</v>
      </c>
      <c r="B374" s="82"/>
      <c r="C374" s="99" t="s">
        <v>711</v>
      </c>
      <c r="D374" s="41">
        <f>D375+D377</f>
        <v>33243.199999999997</v>
      </c>
      <c r="E374" s="41">
        <f t="shared" ref="E374:F374" si="118">E375+E377</f>
        <v>2100</v>
      </c>
      <c r="F374" s="41">
        <f t="shared" si="118"/>
        <v>2100</v>
      </c>
      <c r="G374" s="103"/>
    </row>
    <row r="375" spans="1:7" ht="38.25" x14ac:dyDescent="0.2">
      <c r="A375" s="21" t="s">
        <v>499</v>
      </c>
      <c r="B375" s="16"/>
      <c r="C375" s="98" t="s">
        <v>579</v>
      </c>
      <c r="D375" s="41">
        <f t="shared" ref="D375:F375" si="119">D376</f>
        <v>0</v>
      </c>
      <c r="E375" s="41">
        <f t="shared" si="119"/>
        <v>2100</v>
      </c>
      <c r="F375" s="41">
        <f t="shared" si="119"/>
        <v>2100</v>
      </c>
      <c r="G375" s="103"/>
    </row>
    <row r="376" spans="1:7" ht="38.25" x14ac:dyDescent="0.2">
      <c r="A376" s="21" t="s">
        <v>499</v>
      </c>
      <c r="B376" s="82" t="s">
        <v>211</v>
      </c>
      <c r="C376" s="98" t="s">
        <v>212</v>
      </c>
      <c r="D376" s="41">
        <f>3689.4-3689.4</f>
        <v>0</v>
      </c>
      <c r="E376" s="41">
        <v>2100</v>
      </c>
      <c r="F376" s="41">
        <v>2100</v>
      </c>
      <c r="G376" s="103"/>
    </row>
    <row r="377" spans="1:7" ht="25.5" x14ac:dyDescent="0.2">
      <c r="A377" s="21" t="s">
        <v>712</v>
      </c>
      <c r="B377" s="82"/>
      <c r="C377" s="98" t="s">
        <v>713</v>
      </c>
      <c r="D377" s="41">
        <f>D378</f>
        <v>33243.199999999997</v>
      </c>
      <c r="E377" s="41">
        <f t="shared" ref="E377:F377" si="120">E378</f>
        <v>0</v>
      </c>
      <c r="F377" s="41">
        <f t="shared" si="120"/>
        <v>0</v>
      </c>
      <c r="G377" s="103"/>
    </row>
    <row r="378" spans="1:7" x14ac:dyDescent="0.2">
      <c r="A378" s="21" t="s">
        <v>712</v>
      </c>
      <c r="B378" s="82" t="s">
        <v>248</v>
      </c>
      <c r="C378" s="99" t="s">
        <v>271</v>
      </c>
      <c r="D378" s="41">
        <f>40000-6756.8</f>
        <v>33243.199999999997</v>
      </c>
      <c r="E378" s="41">
        <v>0</v>
      </c>
      <c r="F378" s="41">
        <v>0</v>
      </c>
      <c r="G378" s="103"/>
    </row>
    <row r="379" spans="1:7" ht="38.25" x14ac:dyDescent="0.2">
      <c r="A379" s="52" t="s">
        <v>34</v>
      </c>
      <c r="B379" s="16"/>
      <c r="C379" s="46" t="s">
        <v>501</v>
      </c>
      <c r="D379" s="41">
        <f>D380+D383</f>
        <v>3218.7</v>
      </c>
      <c r="E379" s="41">
        <f>E380+E383</f>
        <v>4827.8</v>
      </c>
      <c r="F379" s="41">
        <f>F380+F383</f>
        <v>4945.2</v>
      </c>
      <c r="G379" s="103"/>
    </row>
    <row r="380" spans="1:7" ht="49.5" customHeight="1" x14ac:dyDescent="0.2">
      <c r="A380" s="21" t="s">
        <v>236</v>
      </c>
      <c r="B380" s="16"/>
      <c r="C380" s="99" t="s">
        <v>646</v>
      </c>
      <c r="D380" s="41">
        <f>D381</f>
        <v>1919.6999999999998</v>
      </c>
      <c r="E380" s="41">
        <f t="shared" ref="E380:F380" si="121">E381</f>
        <v>1700</v>
      </c>
      <c r="F380" s="41">
        <f t="shared" si="121"/>
        <v>1700</v>
      </c>
      <c r="G380" s="103"/>
    </row>
    <row r="381" spans="1:7" ht="39.75" customHeight="1" x14ac:dyDescent="0.2">
      <c r="A381" s="21" t="s">
        <v>503</v>
      </c>
      <c r="B381" s="16"/>
      <c r="C381" s="99" t="s">
        <v>502</v>
      </c>
      <c r="D381" s="41">
        <f>D382</f>
        <v>1919.6999999999998</v>
      </c>
      <c r="E381" s="41">
        <f t="shared" ref="E381:F381" si="122">E382</f>
        <v>1700</v>
      </c>
      <c r="F381" s="41">
        <f t="shared" si="122"/>
        <v>1700</v>
      </c>
      <c r="G381" s="103"/>
    </row>
    <row r="382" spans="1:7" ht="42.75" customHeight="1" x14ac:dyDescent="0.2">
      <c r="A382" s="21" t="s">
        <v>503</v>
      </c>
      <c r="B382" s="82" t="s">
        <v>211</v>
      </c>
      <c r="C382" s="98" t="s">
        <v>212</v>
      </c>
      <c r="D382" s="41">
        <f>1164+1050+239.1-533.4</f>
        <v>1919.6999999999998</v>
      </c>
      <c r="E382" s="41">
        <f>700+1000</f>
        <v>1700</v>
      </c>
      <c r="F382" s="41">
        <f>700+1000</f>
        <v>1700</v>
      </c>
      <c r="G382" s="103"/>
    </row>
    <row r="383" spans="1:7" ht="25.5" customHeight="1" x14ac:dyDescent="0.2">
      <c r="A383" s="21" t="s">
        <v>367</v>
      </c>
      <c r="B383" s="82"/>
      <c r="C383" s="99" t="s">
        <v>578</v>
      </c>
      <c r="D383" s="41">
        <f>D384</f>
        <v>1299</v>
      </c>
      <c r="E383" s="41">
        <f t="shared" ref="E383:F384" si="123">E384</f>
        <v>3127.8</v>
      </c>
      <c r="F383" s="41">
        <f t="shared" si="123"/>
        <v>3245.2</v>
      </c>
      <c r="G383" s="103"/>
    </row>
    <row r="384" spans="1:7" ht="26.25" customHeight="1" x14ac:dyDescent="0.2">
      <c r="A384" s="21" t="s">
        <v>504</v>
      </c>
      <c r="B384" s="16"/>
      <c r="C384" s="99" t="s">
        <v>369</v>
      </c>
      <c r="D384" s="41">
        <f>D385</f>
        <v>1299</v>
      </c>
      <c r="E384" s="41">
        <f t="shared" si="123"/>
        <v>3127.8</v>
      </c>
      <c r="F384" s="41">
        <f t="shared" si="123"/>
        <v>3245.2</v>
      </c>
      <c r="G384" s="103"/>
    </row>
    <row r="385" spans="1:7" ht="12.75" customHeight="1" x14ac:dyDescent="0.2">
      <c r="A385" s="21" t="s">
        <v>504</v>
      </c>
      <c r="B385" s="82" t="s">
        <v>248</v>
      </c>
      <c r="C385" s="99" t="s">
        <v>271</v>
      </c>
      <c r="D385" s="41">
        <v>1299</v>
      </c>
      <c r="E385" s="41">
        <v>3127.8</v>
      </c>
      <c r="F385" s="41">
        <v>3245.2</v>
      </c>
      <c r="G385" s="103"/>
    </row>
    <row r="386" spans="1:7" ht="77.25" customHeight="1" x14ac:dyDescent="0.2">
      <c r="A386" s="73" t="s">
        <v>146</v>
      </c>
      <c r="B386" s="16"/>
      <c r="C386" s="63" t="s">
        <v>580</v>
      </c>
      <c r="D386" s="96">
        <f>D388</f>
        <v>240</v>
      </c>
      <c r="E386" s="96">
        <f>E388</f>
        <v>300</v>
      </c>
      <c r="F386" s="96">
        <f>F388</f>
        <v>300</v>
      </c>
    </row>
    <row r="387" spans="1:7" ht="51" x14ac:dyDescent="0.2">
      <c r="A387" s="21" t="s">
        <v>147</v>
      </c>
      <c r="B387" s="16"/>
      <c r="C387" s="48" t="s">
        <v>505</v>
      </c>
      <c r="D387" s="93">
        <f>D388</f>
        <v>240</v>
      </c>
      <c r="E387" s="93">
        <f t="shared" ref="E387:F387" si="124">E388</f>
        <v>300</v>
      </c>
      <c r="F387" s="93">
        <f t="shared" si="124"/>
        <v>300</v>
      </c>
    </row>
    <row r="388" spans="1:7" ht="76.5" customHeight="1" x14ac:dyDescent="0.2">
      <c r="A388" s="21" t="s">
        <v>210</v>
      </c>
      <c r="B388" s="16"/>
      <c r="C388" s="99" t="s">
        <v>506</v>
      </c>
      <c r="D388" s="39">
        <f>D389+D391+D393</f>
        <v>240</v>
      </c>
      <c r="E388" s="39">
        <f t="shared" ref="E388:F388" si="125">E389+E391+E393</f>
        <v>300</v>
      </c>
      <c r="F388" s="39">
        <f t="shared" si="125"/>
        <v>300</v>
      </c>
    </row>
    <row r="389" spans="1:7" ht="51.75" customHeight="1" x14ac:dyDescent="0.2">
      <c r="A389" s="137" t="s">
        <v>507</v>
      </c>
      <c r="B389" s="16"/>
      <c r="C389" s="99" t="s">
        <v>544</v>
      </c>
      <c r="D389" s="39">
        <f>D390</f>
        <v>0</v>
      </c>
      <c r="E389" s="39">
        <f>E390</f>
        <v>300</v>
      </c>
      <c r="F389" s="39">
        <f>F390</f>
        <v>300</v>
      </c>
    </row>
    <row r="390" spans="1:7" ht="38.25" x14ac:dyDescent="0.2">
      <c r="A390" s="137" t="s">
        <v>507</v>
      </c>
      <c r="B390" s="82" t="s">
        <v>211</v>
      </c>
      <c r="C390" s="98" t="s">
        <v>212</v>
      </c>
      <c r="D390" s="39"/>
      <c r="E390" s="39">
        <v>300</v>
      </c>
      <c r="F390" s="39">
        <v>300</v>
      </c>
    </row>
    <row r="391" spans="1:7" ht="76.5" customHeight="1" x14ac:dyDescent="0.2">
      <c r="A391" s="74">
        <v>810123102</v>
      </c>
      <c r="B391" s="16"/>
      <c r="C391" s="99" t="s">
        <v>508</v>
      </c>
      <c r="D391" s="39">
        <f>D392</f>
        <v>120</v>
      </c>
      <c r="E391" s="39">
        <f>E392</f>
        <v>0</v>
      </c>
      <c r="F391" s="39">
        <f>F392</f>
        <v>0</v>
      </c>
    </row>
    <row r="392" spans="1:7" ht="38.25" x14ac:dyDescent="0.2">
      <c r="A392" s="74">
        <v>810123102</v>
      </c>
      <c r="B392" s="82" t="s">
        <v>211</v>
      </c>
      <c r="C392" s="98" t="s">
        <v>212</v>
      </c>
      <c r="D392" s="39">
        <f>100+20</f>
        <v>120</v>
      </c>
      <c r="E392" s="39">
        <v>0</v>
      </c>
      <c r="F392" s="39">
        <v>0</v>
      </c>
    </row>
    <row r="393" spans="1:7" ht="82.5" customHeight="1" x14ac:dyDescent="0.2">
      <c r="A393" s="74">
        <v>810123103</v>
      </c>
      <c r="B393" s="82"/>
      <c r="C393" s="98" t="s">
        <v>663</v>
      </c>
      <c r="D393" s="39">
        <f>D394</f>
        <v>120</v>
      </c>
      <c r="E393" s="39">
        <f t="shared" ref="E393:F393" si="126">E394</f>
        <v>0</v>
      </c>
      <c r="F393" s="39">
        <f t="shared" si="126"/>
        <v>0</v>
      </c>
    </row>
    <row r="394" spans="1:7" ht="38.25" x14ac:dyDescent="0.2">
      <c r="A394" s="74">
        <v>810123103</v>
      </c>
      <c r="B394" s="82" t="s">
        <v>211</v>
      </c>
      <c r="C394" s="98" t="s">
        <v>212</v>
      </c>
      <c r="D394" s="39">
        <f>100+20</f>
        <v>120</v>
      </c>
      <c r="E394" s="39">
        <v>0</v>
      </c>
      <c r="F394" s="39">
        <v>0</v>
      </c>
    </row>
    <row r="395" spans="1:7" ht="76.5" customHeight="1" x14ac:dyDescent="0.2">
      <c r="A395" s="73" t="s">
        <v>67</v>
      </c>
      <c r="B395" s="30"/>
      <c r="C395" s="141" t="s">
        <v>581</v>
      </c>
      <c r="D395" s="96">
        <f>D396+D418</f>
        <v>238986.8</v>
      </c>
      <c r="E395" s="96">
        <f>E396+E418</f>
        <v>172100</v>
      </c>
      <c r="F395" s="96">
        <f>F396+F418</f>
        <v>172100</v>
      </c>
      <c r="G395" s="103"/>
    </row>
    <row r="396" spans="1:7" ht="54" customHeight="1" x14ac:dyDescent="0.2">
      <c r="A396" s="52" t="s">
        <v>68</v>
      </c>
      <c r="B396" s="30"/>
      <c r="C396" s="46" t="s">
        <v>165</v>
      </c>
      <c r="D396" s="93">
        <f>D397</f>
        <v>208423</v>
      </c>
      <c r="E396" s="93">
        <f t="shared" ref="E396:F396" si="127">E397</f>
        <v>141596.4</v>
      </c>
      <c r="F396" s="93">
        <f t="shared" si="127"/>
        <v>141652.9</v>
      </c>
      <c r="G396" s="103"/>
    </row>
    <row r="397" spans="1:7" ht="38.25" x14ac:dyDescent="0.2">
      <c r="A397" s="21" t="s">
        <v>295</v>
      </c>
      <c r="B397" s="30"/>
      <c r="C397" s="97" t="s">
        <v>306</v>
      </c>
      <c r="D397" s="93">
        <f>D398+D400+D402+D404+D406+D408+D410+D412+D414+D416</f>
        <v>208423</v>
      </c>
      <c r="E397" s="93">
        <f t="shared" ref="E397:F397" si="128">E398+E400+E402+E404+E406+E408+E410+E412+E414+E416</f>
        <v>141596.4</v>
      </c>
      <c r="F397" s="93">
        <f t="shared" si="128"/>
        <v>141652.9</v>
      </c>
      <c r="G397" s="103"/>
    </row>
    <row r="398" spans="1:7" ht="76.5" x14ac:dyDescent="0.2">
      <c r="A398" s="74">
        <v>910123405</v>
      </c>
      <c r="B398" s="30"/>
      <c r="C398" s="97" t="s">
        <v>294</v>
      </c>
      <c r="D398" s="39">
        <f>D399</f>
        <v>15159.4</v>
      </c>
      <c r="E398" s="39">
        <f>E399</f>
        <v>15386.8</v>
      </c>
      <c r="F398" s="39">
        <f>F399</f>
        <v>16489.8</v>
      </c>
      <c r="G398" s="103"/>
    </row>
    <row r="399" spans="1:7" ht="38.25" x14ac:dyDescent="0.2">
      <c r="A399" s="74">
        <v>910123405</v>
      </c>
      <c r="B399" s="82" t="s">
        <v>211</v>
      </c>
      <c r="C399" s="98" t="s">
        <v>212</v>
      </c>
      <c r="D399" s="39">
        <f>15759.4-600</f>
        <v>15159.4</v>
      </c>
      <c r="E399" s="39">
        <v>15386.8</v>
      </c>
      <c r="F399" s="39">
        <v>16489.8</v>
      </c>
    </row>
    <row r="400" spans="1:7" ht="63.75" x14ac:dyDescent="0.2">
      <c r="A400" s="74">
        <v>910110520</v>
      </c>
      <c r="B400" s="30"/>
      <c r="C400" s="97" t="s">
        <v>184</v>
      </c>
      <c r="D400" s="39">
        <f>D401</f>
        <v>25070.9</v>
      </c>
      <c r="E400" s="39">
        <f>E401</f>
        <v>26073.7</v>
      </c>
      <c r="F400" s="39">
        <f>F401</f>
        <v>27116.6</v>
      </c>
      <c r="G400" s="103"/>
    </row>
    <row r="401" spans="1:7" ht="38.25" x14ac:dyDescent="0.2">
      <c r="A401" s="74">
        <v>910110520</v>
      </c>
      <c r="B401" s="82" t="s">
        <v>211</v>
      </c>
      <c r="C401" s="98" t="s">
        <v>212</v>
      </c>
      <c r="D401" s="1">
        <v>25070.9</v>
      </c>
      <c r="E401" s="39">
        <v>26073.7</v>
      </c>
      <c r="F401" s="1">
        <v>27116.6</v>
      </c>
      <c r="G401" s="103"/>
    </row>
    <row r="402" spans="1:7" ht="25.5" x14ac:dyDescent="0.2">
      <c r="A402" s="74">
        <v>910123410</v>
      </c>
      <c r="B402" s="16"/>
      <c r="C402" s="98" t="s">
        <v>185</v>
      </c>
      <c r="D402" s="39">
        <f>D403</f>
        <v>25159.8</v>
      </c>
      <c r="E402" s="39">
        <f>E403</f>
        <v>21684.6</v>
      </c>
      <c r="F402" s="39">
        <f>F403</f>
        <v>16457</v>
      </c>
      <c r="G402" s="103"/>
    </row>
    <row r="403" spans="1:7" ht="38.25" x14ac:dyDescent="0.2">
      <c r="A403" s="74">
        <v>910123410</v>
      </c>
      <c r="B403" s="82" t="s">
        <v>211</v>
      </c>
      <c r="C403" s="98" t="s">
        <v>212</v>
      </c>
      <c r="D403" s="39">
        <f>25695.2-535.4</f>
        <v>25159.8</v>
      </c>
      <c r="E403" s="39">
        <v>21684.6</v>
      </c>
      <c r="F403" s="39">
        <v>16457</v>
      </c>
    </row>
    <row r="404" spans="1:7" ht="89.25" x14ac:dyDescent="0.2">
      <c r="A404" s="74">
        <v>910123415</v>
      </c>
      <c r="B404" s="82"/>
      <c r="C404" s="130" t="s">
        <v>726</v>
      </c>
      <c r="D404" s="39">
        <f>D405</f>
        <v>2250</v>
      </c>
      <c r="E404" s="39">
        <f t="shared" ref="E404:F404" si="129">E405</f>
        <v>0</v>
      </c>
      <c r="F404" s="39">
        <f t="shared" si="129"/>
        <v>0</v>
      </c>
    </row>
    <row r="405" spans="1:7" ht="38.25" x14ac:dyDescent="0.2">
      <c r="A405" s="74">
        <v>910123415</v>
      </c>
      <c r="B405" s="82" t="s">
        <v>211</v>
      </c>
      <c r="C405" s="98" t="s">
        <v>212</v>
      </c>
      <c r="D405" s="39">
        <v>2250</v>
      </c>
      <c r="E405" s="39">
        <v>0</v>
      </c>
      <c r="F405" s="39">
        <v>0</v>
      </c>
    </row>
    <row r="406" spans="1:7" ht="51" x14ac:dyDescent="0.2">
      <c r="A406" s="74" t="s">
        <v>346</v>
      </c>
      <c r="B406" s="82"/>
      <c r="C406" s="123" t="s">
        <v>345</v>
      </c>
      <c r="D406" s="39">
        <f>D407</f>
        <v>1157.0999999999999</v>
      </c>
      <c r="E406" s="39">
        <f>E407</f>
        <v>1267.4000000000001</v>
      </c>
      <c r="F406" s="39">
        <f>F407</f>
        <v>1318.2</v>
      </c>
    </row>
    <row r="407" spans="1:7" ht="38.25" x14ac:dyDescent="0.2">
      <c r="A407" s="74" t="s">
        <v>346</v>
      </c>
      <c r="B407" s="82" t="s">
        <v>211</v>
      </c>
      <c r="C407" s="98" t="s">
        <v>212</v>
      </c>
      <c r="D407" s="39">
        <f>1218.7+452.9+200-714.5</f>
        <v>1157.0999999999999</v>
      </c>
      <c r="E407" s="39">
        <v>1267.4000000000001</v>
      </c>
      <c r="F407" s="39">
        <v>1318.2</v>
      </c>
    </row>
    <row r="408" spans="1:7" ht="51" x14ac:dyDescent="0.2">
      <c r="A408" s="137" t="s">
        <v>509</v>
      </c>
      <c r="B408" s="82"/>
      <c r="C408" s="123" t="s">
        <v>347</v>
      </c>
      <c r="D408" s="39">
        <f>D409</f>
        <v>10968</v>
      </c>
      <c r="E408" s="39">
        <f>E409</f>
        <v>11406.7</v>
      </c>
      <c r="F408" s="39">
        <f>F409</f>
        <v>11863</v>
      </c>
    </row>
    <row r="409" spans="1:7" ht="38.25" x14ac:dyDescent="0.2">
      <c r="A409" s="137" t="s">
        <v>509</v>
      </c>
      <c r="B409" s="82" t="s">
        <v>211</v>
      </c>
      <c r="C409" s="98" t="s">
        <v>212</v>
      </c>
      <c r="D409" s="39">
        <v>10968</v>
      </c>
      <c r="E409" s="39">
        <v>11406.7</v>
      </c>
      <c r="F409" s="39">
        <v>11863</v>
      </c>
    </row>
    <row r="410" spans="1:7" ht="25.5" x14ac:dyDescent="0.2">
      <c r="A410" s="74" t="s">
        <v>342</v>
      </c>
      <c r="B410" s="82"/>
      <c r="C410" s="98" t="s">
        <v>343</v>
      </c>
      <c r="D410" s="39">
        <f>D411</f>
        <v>13904.5</v>
      </c>
      <c r="E410" s="39">
        <f>E411</f>
        <v>6577.7</v>
      </c>
      <c r="F410" s="39">
        <f>F411</f>
        <v>6840.8</v>
      </c>
    </row>
    <row r="411" spans="1:7" ht="38.25" x14ac:dyDescent="0.2">
      <c r="A411" s="74" t="s">
        <v>342</v>
      </c>
      <c r="B411" s="82" t="s">
        <v>211</v>
      </c>
      <c r="C411" s="98" t="s">
        <v>212</v>
      </c>
      <c r="D411" s="39">
        <f>8777.9+6107.5-980.9</f>
        <v>13904.5</v>
      </c>
      <c r="E411" s="39">
        <v>6577.7</v>
      </c>
      <c r="F411" s="39">
        <v>6840.8</v>
      </c>
    </row>
    <row r="412" spans="1:7" ht="25.5" x14ac:dyDescent="0.2">
      <c r="A412" s="139" t="s">
        <v>510</v>
      </c>
      <c r="B412" s="82"/>
      <c r="C412" s="98" t="s">
        <v>344</v>
      </c>
      <c r="D412" s="39">
        <f>D413</f>
        <v>101125.1</v>
      </c>
      <c r="E412" s="39">
        <f>E413</f>
        <v>59199.5</v>
      </c>
      <c r="F412" s="39">
        <f>F413</f>
        <v>61567.5</v>
      </c>
    </row>
    <row r="413" spans="1:7" ht="38.25" x14ac:dyDescent="0.2">
      <c r="A413" s="139" t="s">
        <v>510</v>
      </c>
      <c r="B413" s="82" t="s">
        <v>211</v>
      </c>
      <c r="C413" s="98" t="s">
        <v>212</v>
      </c>
      <c r="D413" s="39">
        <f>58435.7+42689.4</f>
        <v>101125.1</v>
      </c>
      <c r="E413" s="1">
        <v>59199.5</v>
      </c>
      <c r="F413" s="1">
        <v>61567.5</v>
      </c>
    </row>
    <row r="414" spans="1:7" ht="25.5" x14ac:dyDescent="0.2">
      <c r="A414" s="74">
        <v>910123425</v>
      </c>
      <c r="B414" s="82"/>
      <c r="C414" s="98" t="s">
        <v>373</v>
      </c>
      <c r="D414" s="39">
        <f>D415</f>
        <v>10160.299999999999</v>
      </c>
      <c r="E414" s="39">
        <f>E415</f>
        <v>0</v>
      </c>
      <c r="F414" s="39">
        <f>F415</f>
        <v>0</v>
      </c>
    </row>
    <row r="415" spans="1:7" ht="38.25" x14ac:dyDescent="0.2">
      <c r="A415" s="74">
        <v>910123425</v>
      </c>
      <c r="B415" s="82" t="s">
        <v>211</v>
      </c>
      <c r="C415" s="98" t="s">
        <v>212</v>
      </c>
      <c r="D415" s="39">
        <f>2448.7+5498.9+3253.7-1041</f>
        <v>10160.299999999999</v>
      </c>
      <c r="E415" s="39">
        <v>0</v>
      </c>
      <c r="F415" s="39">
        <v>0</v>
      </c>
    </row>
    <row r="416" spans="1:7" x14ac:dyDescent="0.2">
      <c r="A416" s="74">
        <v>910123430</v>
      </c>
      <c r="B416" s="82"/>
      <c r="C416" s="98" t="s">
        <v>725</v>
      </c>
      <c r="D416" s="39">
        <f>D417</f>
        <v>3467.9</v>
      </c>
      <c r="E416" s="39">
        <f>E417</f>
        <v>0</v>
      </c>
      <c r="F416" s="39">
        <f>F417</f>
        <v>0</v>
      </c>
    </row>
    <row r="417" spans="1:7" ht="38.25" x14ac:dyDescent="0.2">
      <c r="A417" s="74">
        <v>910123430</v>
      </c>
      <c r="B417" s="82" t="s">
        <v>211</v>
      </c>
      <c r="C417" s="98" t="s">
        <v>212</v>
      </c>
      <c r="D417" s="39">
        <f>667.9+2800</f>
        <v>3467.9</v>
      </c>
      <c r="E417" s="39">
        <v>0</v>
      </c>
      <c r="F417" s="39">
        <v>0</v>
      </c>
    </row>
    <row r="418" spans="1:7" ht="63.75" x14ac:dyDescent="0.2">
      <c r="A418" s="52" t="s">
        <v>214</v>
      </c>
      <c r="B418" s="30"/>
      <c r="C418" s="46" t="s">
        <v>186</v>
      </c>
      <c r="D418" s="93">
        <f>D419</f>
        <v>30563.8</v>
      </c>
      <c r="E418" s="93">
        <f t="shared" ref="E418:F418" si="130">E419</f>
        <v>30503.600000000002</v>
      </c>
      <c r="F418" s="93">
        <f t="shared" si="130"/>
        <v>30447.100000000002</v>
      </c>
    </row>
    <row r="419" spans="1:7" ht="25.5" x14ac:dyDescent="0.2">
      <c r="A419" s="74">
        <v>920100000</v>
      </c>
      <c r="B419" s="30"/>
      <c r="C419" s="97" t="s">
        <v>296</v>
      </c>
      <c r="D419" s="39">
        <f>D420+D422+D424+D426+D428</f>
        <v>30563.8</v>
      </c>
      <c r="E419" s="39">
        <f t="shared" ref="E419:F419" si="131">E420+E422+E424+E426+E428</f>
        <v>30503.600000000002</v>
      </c>
      <c r="F419" s="39">
        <f t="shared" si="131"/>
        <v>30447.100000000002</v>
      </c>
    </row>
    <row r="420" spans="1:7" ht="63.75" x14ac:dyDescent="0.2">
      <c r="A420" s="74" t="s">
        <v>304</v>
      </c>
      <c r="B420" s="30"/>
      <c r="C420" s="97" t="s">
        <v>215</v>
      </c>
      <c r="D420" s="39">
        <f>D421</f>
        <v>5040</v>
      </c>
      <c r="E420" s="39">
        <f>E421</f>
        <v>5055.2</v>
      </c>
      <c r="F420" s="39">
        <f>F421</f>
        <v>5054.8999999999996</v>
      </c>
      <c r="G420" s="103"/>
    </row>
    <row r="421" spans="1:7" ht="38.25" x14ac:dyDescent="0.2">
      <c r="A421" s="74" t="s">
        <v>304</v>
      </c>
      <c r="B421" s="82" t="s">
        <v>211</v>
      </c>
      <c r="C421" s="98" t="s">
        <v>212</v>
      </c>
      <c r="D421" s="39">
        <v>5040</v>
      </c>
      <c r="E421" s="39">
        <v>5055.2</v>
      </c>
      <c r="F421" s="39">
        <v>5054.8999999999996</v>
      </c>
    </row>
    <row r="422" spans="1:7" ht="51" x14ac:dyDescent="0.2">
      <c r="A422" s="74">
        <v>920110300</v>
      </c>
      <c r="B422" s="16"/>
      <c r="C422" s="97" t="s">
        <v>648</v>
      </c>
      <c r="D422" s="39">
        <f>D423</f>
        <v>20160.099999999999</v>
      </c>
      <c r="E422" s="39">
        <f>E423</f>
        <v>20220.7</v>
      </c>
      <c r="F422" s="39">
        <f>F423</f>
        <v>20219.5</v>
      </c>
    </row>
    <row r="423" spans="1:7" ht="38.25" x14ac:dyDescent="0.2">
      <c r="A423" s="74">
        <v>920110300</v>
      </c>
      <c r="B423" s="82" t="s">
        <v>211</v>
      </c>
      <c r="C423" s="98" t="s">
        <v>212</v>
      </c>
      <c r="D423" s="39">
        <v>20160.099999999999</v>
      </c>
      <c r="E423" s="39">
        <v>20220.7</v>
      </c>
      <c r="F423" s="39">
        <v>20219.5</v>
      </c>
    </row>
    <row r="424" spans="1:7" ht="51" x14ac:dyDescent="0.2">
      <c r="A424" s="74">
        <v>920123485</v>
      </c>
      <c r="B424" s="82"/>
      <c r="C424" s="54" t="s">
        <v>668</v>
      </c>
      <c r="D424" s="39">
        <f>D425</f>
        <v>2707.5</v>
      </c>
      <c r="E424" s="39">
        <f t="shared" ref="E424:F424" si="132">E425</f>
        <v>1413.8</v>
      </c>
      <c r="F424" s="39">
        <f t="shared" si="132"/>
        <v>1413.8</v>
      </c>
    </row>
    <row r="425" spans="1:7" ht="38.25" x14ac:dyDescent="0.2">
      <c r="A425" s="74">
        <v>920123485</v>
      </c>
      <c r="B425" s="82" t="s">
        <v>211</v>
      </c>
      <c r="C425" s="98" t="s">
        <v>212</v>
      </c>
      <c r="D425" s="39">
        <f>1413.8+979.2+314.5</f>
        <v>2707.5</v>
      </c>
      <c r="E425" s="39">
        <v>1413.8</v>
      </c>
      <c r="F425" s="39">
        <v>1413.8</v>
      </c>
    </row>
    <row r="426" spans="1:7" ht="52.5" customHeight="1" x14ac:dyDescent="0.2">
      <c r="A426" s="74">
        <v>920123490</v>
      </c>
      <c r="B426" s="82"/>
      <c r="C426" s="54" t="s">
        <v>512</v>
      </c>
      <c r="D426" s="39">
        <f>D427</f>
        <v>0</v>
      </c>
      <c r="E426" s="39">
        <f>E427</f>
        <v>55</v>
      </c>
      <c r="F426" s="39">
        <f>F427</f>
        <v>0</v>
      </c>
    </row>
    <row r="427" spans="1:7" ht="38.25" x14ac:dyDescent="0.2">
      <c r="A427" s="74">
        <v>920123490</v>
      </c>
      <c r="B427" s="82" t="s">
        <v>211</v>
      </c>
      <c r="C427" s="98" t="s">
        <v>212</v>
      </c>
      <c r="D427" s="39">
        <v>0</v>
      </c>
      <c r="E427" s="39">
        <v>55</v>
      </c>
      <c r="F427" s="39">
        <v>0</v>
      </c>
    </row>
    <row r="428" spans="1:7" ht="63.75" x14ac:dyDescent="0.2">
      <c r="A428" s="74">
        <v>920123495</v>
      </c>
      <c r="B428" s="82"/>
      <c r="C428" s="54" t="s">
        <v>561</v>
      </c>
      <c r="D428" s="39">
        <f>D429</f>
        <v>2656.2</v>
      </c>
      <c r="E428" s="39">
        <f>E429</f>
        <v>3758.9</v>
      </c>
      <c r="F428" s="39">
        <f>F429</f>
        <v>3758.9</v>
      </c>
    </row>
    <row r="429" spans="1:7" ht="38.25" x14ac:dyDescent="0.2">
      <c r="A429" s="74">
        <v>920123495</v>
      </c>
      <c r="B429" s="82" t="s">
        <v>211</v>
      </c>
      <c r="C429" s="98" t="s">
        <v>212</v>
      </c>
      <c r="D429" s="39">
        <f>2500+156.2</f>
        <v>2656.2</v>
      </c>
      <c r="E429" s="39">
        <v>3758.9</v>
      </c>
      <c r="F429" s="39">
        <v>3758.9</v>
      </c>
    </row>
    <row r="430" spans="1:7" ht="77.25" customHeight="1" x14ac:dyDescent="0.2">
      <c r="A430" s="73" t="s">
        <v>71</v>
      </c>
      <c r="B430" s="16"/>
      <c r="C430" s="53" t="s">
        <v>582</v>
      </c>
      <c r="D430" s="96">
        <f>D431+D435+D441</f>
        <v>114</v>
      </c>
      <c r="E430" s="96">
        <f t="shared" ref="E430:F430" si="133">E431+E435+E441</f>
        <v>84</v>
      </c>
      <c r="F430" s="96">
        <f t="shared" si="133"/>
        <v>84</v>
      </c>
    </row>
    <row r="431" spans="1:7" ht="51" x14ac:dyDescent="0.2">
      <c r="A431" s="52" t="s">
        <v>72</v>
      </c>
      <c r="B431" s="16"/>
      <c r="C431" s="60" t="s">
        <v>187</v>
      </c>
      <c r="D431" s="58">
        <f t="shared" ref="D431:F432" si="134">D432</f>
        <v>34</v>
      </c>
      <c r="E431" s="58">
        <f t="shared" si="134"/>
        <v>34</v>
      </c>
      <c r="F431" s="58">
        <f t="shared" si="134"/>
        <v>34</v>
      </c>
    </row>
    <row r="432" spans="1:7" ht="38.25" x14ac:dyDescent="0.2">
      <c r="A432" s="21" t="s">
        <v>226</v>
      </c>
      <c r="B432" s="82"/>
      <c r="C432" s="98" t="s">
        <v>337</v>
      </c>
      <c r="D432" s="41">
        <f>D433</f>
        <v>34</v>
      </c>
      <c r="E432" s="41">
        <f t="shared" si="134"/>
        <v>34</v>
      </c>
      <c r="F432" s="41">
        <f t="shared" si="134"/>
        <v>34</v>
      </c>
    </row>
    <row r="433" spans="1:6" ht="63.75" x14ac:dyDescent="0.2">
      <c r="A433" s="21" t="s">
        <v>513</v>
      </c>
      <c r="B433" s="16"/>
      <c r="C433" s="98" t="s">
        <v>338</v>
      </c>
      <c r="D433" s="41">
        <f>D434</f>
        <v>34</v>
      </c>
      <c r="E433" s="41">
        <f>E434</f>
        <v>34</v>
      </c>
      <c r="F433" s="41">
        <f>F434</f>
        <v>34</v>
      </c>
    </row>
    <row r="434" spans="1:6" ht="25.5" x14ac:dyDescent="0.2">
      <c r="A434" s="21" t="s">
        <v>513</v>
      </c>
      <c r="B434" s="82" t="s">
        <v>64</v>
      </c>
      <c r="C434" s="55" t="s">
        <v>130</v>
      </c>
      <c r="D434" s="41">
        <v>34</v>
      </c>
      <c r="E434" s="41">
        <v>34</v>
      </c>
      <c r="F434" s="41">
        <v>34</v>
      </c>
    </row>
    <row r="435" spans="1:6" ht="63.75" x14ac:dyDescent="0.2">
      <c r="A435" s="52" t="s">
        <v>514</v>
      </c>
      <c r="B435" s="16"/>
      <c r="C435" s="48" t="s">
        <v>179</v>
      </c>
      <c r="D435" s="93">
        <f>D436</f>
        <v>40</v>
      </c>
      <c r="E435" s="93">
        <f t="shared" ref="E435:F435" si="135">E436</f>
        <v>50</v>
      </c>
      <c r="F435" s="93">
        <f t="shared" si="135"/>
        <v>50</v>
      </c>
    </row>
    <row r="436" spans="1:6" ht="51" x14ac:dyDescent="0.2">
      <c r="A436" s="21" t="s">
        <v>515</v>
      </c>
      <c r="B436" s="16"/>
      <c r="C436" s="99" t="s">
        <v>312</v>
      </c>
      <c r="D436" s="39">
        <f>D437+D439</f>
        <v>40</v>
      </c>
      <c r="E436" s="39">
        <f>E437+E439</f>
        <v>50</v>
      </c>
      <c r="F436" s="39">
        <f>F437+F439</f>
        <v>50</v>
      </c>
    </row>
    <row r="437" spans="1:6" ht="77.25" customHeight="1" x14ac:dyDescent="0.2">
      <c r="A437" s="74">
        <v>1020123085</v>
      </c>
      <c r="B437" s="16"/>
      <c r="C437" s="98" t="s">
        <v>180</v>
      </c>
      <c r="D437" s="41">
        <f>D438</f>
        <v>5</v>
      </c>
      <c r="E437" s="41">
        <f>E438</f>
        <v>5</v>
      </c>
      <c r="F437" s="41">
        <f>F438</f>
        <v>5</v>
      </c>
    </row>
    <row r="438" spans="1:6" ht="38.25" x14ac:dyDescent="0.2">
      <c r="A438" s="74">
        <v>1020123085</v>
      </c>
      <c r="B438" s="82" t="s">
        <v>211</v>
      </c>
      <c r="C438" s="98" t="s">
        <v>212</v>
      </c>
      <c r="D438" s="41">
        <v>5</v>
      </c>
      <c r="E438" s="41">
        <v>5</v>
      </c>
      <c r="F438" s="41">
        <v>5</v>
      </c>
    </row>
    <row r="439" spans="1:6" x14ac:dyDescent="0.2">
      <c r="A439" s="74">
        <v>1020123086</v>
      </c>
      <c r="B439" s="16"/>
      <c r="C439" s="98" t="s">
        <v>181</v>
      </c>
      <c r="D439" s="41">
        <f>D440</f>
        <v>35</v>
      </c>
      <c r="E439" s="41">
        <f>E440</f>
        <v>45</v>
      </c>
      <c r="F439" s="41">
        <f>F440</f>
        <v>45</v>
      </c>
    </row>
    <row r="440" spans="1:6" ht="38.25" x14ac:dyDescent="0.2">
      <c r="A440" s="74">
        <v>1020123086</v>
      </c>
      <c r="B440" s="82" t="s">
        <v>211</v>
      </c>
      <c r="C440" s="98" t="s">
        <v>212</v>
      </c>
      <c r="D440" s="41">
        <v>35</v>
      </c>
      <c r="E440" s="41">
        <v>45</v>
      </c>
      <c r="F440" s="41">
        <v>45</v>
      </c>
    </row>
    <row r="441" spans="1:6" ht="53.25" customHeight="1" x14ac:dyDescent="0.2">
      <c r="A441" s="52" t="s">
        <v>613</v>
      </c>
      <c r="B441" s="82"/>
      <c r="C441" s="60" t="s">
        <v>631</v>
      </c>
      <c r="D441" s="93">
        <f>D442</f>
        <v>40</v>
      </c>
      <c r="E441" s="93">
        <f t="shared" ref="E441:F442" si="136">E442</f>
        <v>0</v>
      </c>
      <c r="F441" s="93">
        <f t="shared" si="136"/>
        <v>0</v>
      </c>
    </row>
    <row r="442" spans="1:6" ht="30" customHeight="1" x14ac:dyDescent="0.2">
      <c r="A442" s="74">
        <v>1030300000</v>
      </c>
      <c r="B442" s="82"/>
      <c r="C442" s="98" t="s">
        <v>615</v>
      </c>
      <c r="D442" s="41">
        <f>D443</f>
        <v>40</v>
      </c>
      <c r="E442" s="41">
        <f t="shared" si="136"/>
        <v>0</v>
      </c>
      <c r="F442" s="41">
        <f t="shared" si="136"/>
        <v>0</v>
      </c>
    </row>
    <row r="443" spans="1:6" ht="38.25" x14ac:dyDescent="0.2">
      <c r="A443" s="74">
        <v>1030323090</v>
      </c>
      <c r="B443" s="82"/>
      <c r="C443" s="98" t="s">
        <v>614</v>
      </c>
      <c r="D443" s="41">
        <f>D444</f>
        <v>40</v>
      </c>
      <c r="E443" s="41">
        <f t="shared" ref="E443:F443" si="137">E444</f>
        <v>0</v>
      </c>
      <c r="F443" s="41">
        <f t="shared" si="137"/>
        <v>0</v>
      </c>
    </row>
    <row r="444" spans="1:6" ht="38.25" x14ac:dyDescent="0.2">
      <c r="A444" s="74">
        <v>1030323090</v>
      </c>
      <c r="B444" s="82" t="s">
        <v>211</v>
      </c>
      <c r="C444" s="98" t="s">
        <v>212</v>
      </c>
      <c r="D444" s="41">
        <v>40</v>
      </c>
      <c r="E444" s="41">
        <v>0</v>
      </c>
      <c r="F444" s="41">
        <v>0</v>
      </c>
    </row>
    <row r="445" spans="1:6" ht="90" customHeight="1" x14ac:dyDescent="0.25">
      <c r="A445" s="73" t="s">
        <v>50</v>
      </c>
      <c r="B445" s="16"/>
      <c r="C445" s="64" t="s">
        <v>583</v>
      </c>
      <c r="D445" s="59">
        <f>D446+D452+D457+D463</f>
        <v>2878</v>
      </c>
      <c r="E445" s="59">
        <f>E446+E452+E457+E463</f>
        <v>1500</v>
      </c>
      <c r="F445" s="59">
        <f>F446+F452+F457+F463</f>
        <v>1500</v>
      </c>
    </row>
    <row r="446" spans="1:6" ht="51" x14ac:dyDescent="0.2">
      <c r="A446" s="52" t="s">
        <v>51</v>
      </c>
      <c r="B446" s="16"/>
      <c r="C446" s="48" t="s">
        <v>203</v>
      </c>
      <c r="D446" s="93">
        <f>D448+D450</f>
        <v>143.5</v>
      </c>
      <c r="E446" s="93">
        <f>E448+E450</f>
        <v>80</v>
      </c>
      <c r="F446" s="93">
        <f>F448+F450</f>
        <v>80</v>
      </c>
    </row>
    <row r="447" spans="1:6" ht="63.75" x14ac:dyDescent="0.2">
      <c r="A447" s="21" t="s">
        <v>218</v>
      </c>
      <c r="B447" s="16"/>
      <c r="C447" s="99" t="s">
        <v>292</v>
      </c>
      <c r="D447" s="39">
        <f>D448+D450</f>
        <v>143.5</v>
      </c>
      <c r="E447" s="39">
        <f t="shared" ref="E447:F447" si="138">E448+E450</f>
        <v>80</v>
      </c>
      <c r="F447" s="39">
        <f t="shared" si="138"/>
        <v>80</v>
      </c>
    </row>
    <row r="448" spans="1:6" ht="25.5" x14ac:dyDescent="0.2">
      <c r="A448" s="74">
        <v>1110123305</v>
      </c>
      <c r="B448" s="16"/>
      <c r="C448" s="99" t="s">
        <v>217</v>
      </c>
      <c r="D448" s="39">
        <f>D449</f>
        <v>103.5</v>
      </c>
      <c r="E448" s="39">
        <f>E449</f>
        <v>40</v>
      </c>
      <c r="F448" s="39">
        <f>F449</f>
        <v>40</v>
      </c>
    </row>
    <row r="449" spans="1:6" ht="38.25" x14ac:dyDescent="0.2">
      <c r="A449" s="74">
        <v>1110123305</v>
      </c>
      <c r="B449" s="82" t="s">
        <v>211</v>
      </c>
      <c r="C449" s="98" t="s">
        <v>212</v>
      </c>
      <c r="D449" s="39">
        <f>40+63.5</f>
        <v>103.5</v>
      </c>
      <c r="E449" s="39">
        <v>40</v>
      </c>
      <c r="F449" s="39">
        <v>40</v>
      </c>
    </row>
    <row r="450" spans="1:6" ht="51" x14ac:dyDescent="0.2">
      <c r="A450" s="74">
        <v>1110123310</v>
      </c>
      <c r="B450" s="16"/>
      <c r="C450" s="99" t="s">
        <v>205</v>
      </c>
      <c r="D450" s="41">
        <f>D451</f>
        <v>40</v>
      </c>
      <c r="E450" s="41">
        <f>E451</f>
        <v>40</v>
      </c>
      <c r="F450" s="41">
        <f>F451</f>
        <v>40</v>
      </c>
    </row>
    <row r="451" spans="1:6" ht="38.25" x14ac:dyDescent="0.2">
      <c r="A451" s="74">
        <v>1110123310</v>
      </c>
      <c r="B451" s="82" t="s">
        <v>211</v>
      </c>
      <c r="C451" s="98" t="s">
        <v>212</v>
      </c>
      <c r="D451" s="39">
        <v>40</v>
      </c>
      <c r="E451" s="39">
        <v>40</v>
      </c>
      <c r="F451" s="39">
        <v>40</v>
      </c>
    </row>
    <row r="452" spans="1:6" ht="38.25" x14ac:dyDescent="0.2">
      <c r="A452" s="52" t="s">
        <v>52</v>
      </c>
      <c r="B452" s="82"/>
      <c r="C452" s="48" t="s">
        <v>199</v>
      </c>
      <c r="D452" s="41">
        <f t="shared" ref="D452:F453" si="139">D453</f>
        <v>2709.5</v>
      </c>
      <c r="E452" s="41">
        <f t="shared" si="139"/>
        <v>1400</v>
      </c>
      <c r="F452" s="41">
        <f t="shared" si="139"/>
        <v>1400</v>
      </c>
    </row>
    <row r="453" spans="1:6" ht="51" x14ac:dyDescent="0.2">
      <c r="A453" s="21" t="s">
        <v>219</v>
      </c>
      <c r="B453" s="82"/>
      <c r="C453" s="99" t="s">
        <v>303</v>
      </c>
      <c r="D453" s="41">
        <f t="shared" si="139"/>
        <v>2709.5</v>
      </c>
      <c r="E453" s="41">
        <f t="shared" si="139"/>
        <v>1400</v>
      </c>
      <c r="F453" s="41">
        <f t="shared" si="139"/>
        <v>1400</v>
      </c>
    </row>
    <row r="454" spans="1:6" ht="38.25" x14ac:dyDescent="0.2">
      <c r="A454" s="74">
        <v>1120123315</v>
      </c>
      <c r="B454" s="16"/>
      <c r="C454" s="98" t="s">
        <v>516</v>
      </c>
      <c r="D454" s="41">
        <f>SUM(D455:D456)</f>
        <v>2709.5</v>
      </c>
      <c r="E454" s="41">
        <f>SUM(E455:E456)</f>
        <v>1400</v>
      </c>
      <c r="F454" s="41">
        <f>SUM(F455:F456)</f>
        <v>1400</v>
      </c>
    </row>
    <row r="455" spans="1:6" ht="25.5" x14ac:dyDescent="0.2">
      <c r="A455" s="74">
        <v>1120123315</v>
      </c>
      <c r="B455" s="82" t="s">
        <v>64</v>
      </c>
      <c r="C455" s="55" t="s">
        <v>130</v>
      </c>
      <c r="D455" s="41">
        <v>118</v>
      </c>
      <c r="E455" s="41">
        <v>51.2</v>
      </c>
      <c r="F455" s="41">
        <v>51.2</v>
      </c>
    </row>
    <row r="456" spans="1:6" ht="38.25" x14ac:dyDescent="0.2">
      <c r="A456" s="74">
        <v>1120123315</v>
      </c>
      <c r="B456" s="82" t="s">
        <v>211</v>
      </c>
      <c r="C456" s="98" t="s">
        <v>212</v>
      </c>
      <c r="D456" s="41">
        <f>2147.1+444.4</f>
        <v>2591.5</v>
      </c>
      <c r="E456" s="41">
        <v>1348.8</v>
      </c>
      <c r="F456" s="41">
        <v>1348.8</v>
      </c>
    </row>
    <row r="457" spans="1:6" ht="39" customHeight="1" x14ac:dyDescent="0.2">
      <c r="A457" s="52" t="s">
        <v>53</v>
      </c>
      <c r="B457" s="16"/>
      <c r="C457" s="48" t="s">
        <v>250</v>
      </c>
      <c r="D457" s="93">
        <f>D458</f>
        <v>10</v>
      </c>
      <c r="E457" s="93">
        <f>E458</f>
        <v>5</v>
      </c>
      <c r="F457" s="93">
        <f>F458</f>
        <v>5</v>
      </c>
    </row>
    <row r="458" spans="1:6" ht="63.75" x14ac:dyDescent="0.2">
      <c r="A458" s="21" t="s">
        <v>220</v>
      </c>
      <c r="B458" s="16"/>
      <c r="C458" s="99" t="s">
        <v>311</v>
      </c>
      <c r="D458" s="39">
        <f>D459+D461</f>
        <v>10</v>
      </c>
      <c r="E458" s="39">
        <f>E459+E461</f>
        <v>5</v>
      </c>
      <c r="F458" s="39">
        <f>F459+F461</f>
        <v>5</v>
      </c>
    </row>
    <row r="459" spans="1:6" ht="25.5" x14ac:dyDescent="0.2">
      <c r="A459" s="74">
        <v>1130123320</v>
      </c>
      <c r="B459" s="16"/>
      <c r="C459" s="98" t="s">
        <v>251</v>
      </c>
      <c r="D459" s="41">
        <f>D460</f>
        <v>7.9</v>
      </c>
      <c r="E459" s="41">
        <f>E460</f>
        <v>4</v>
      </c>
      <c r="F459" s="41">
        <f>F460</f>
        <v>4</v>
      </c>
    </row>
    <row r="460" spans="1:6" ht="38.25" x14ac:dyDescent="0.2">
      <c r="A460" s="74">
        <v>1130123320</v>
      </c>
      <c r="B460" s="82" t="s">
        <v>211</v>
      </c>
      <c r="C460" s="98" t="s">
        <v>212</v>
      </c>
      <c r="D460" s="41">
        <f>8-0.1</f>
        <v>7.9</v>
      </c>
      <c r="E460" s="41">
        <v>4</v>
      </c>
      <c r="F460" s="41">
        <v>4</v>
      </c>
    </row>
    <row r="461" spans="1:6" ht="24" customHeight="1" x14ac:dyDescent="0.2">
      <c r="A461" s="74">
        <v>1130123325</v>
      </c>
      <c r="B461" s="16"/>
      <c r="C461" s="98" t="s">
        <v>221</v>
      </c>
      <c r="D461" s="41">
        <f>D462</f>
        <v>2.1</v>
      </c>
      <c r="E461" s="41">
        <f>E462</f>
        <v>1</v>
      </c>
      <c r="F461" s="41">
        <f>F462</f>
        <v>1</v>
      </c>
    </row>
    <row r="462" spans="1:6" ht="38.25" x14ac:dyDescent="0.2">
      <c r="A462" s="74">
        <v>1130123325</v>
      </c>
      <c r="B462" s="82" t="s">
        <v>211</v>
      </c>
      <c r="C462" s="98" t="s">
        <v>212</v>
      </c>
      <c r="D462" s="41">
        <f>2+0.1</f>
        <v>2.1</v>
      </c>
      <c r="E462" s="41">
        <v>1</v>
      </c>
      <c r="F462" s="41">
        <v>1</v>
      </c>
    </row>
    <row r="463" spans="1:6" ht="51" x14ac:dyDescent="0.2">
      <c r="A463" s="52" t="s">
        <v>54</v>
      </c>
      <c r="B463" s="16"/>
      <c r="C463" s="48" t="s">
        <v>204</v>
      </c>
      <c r="D463" s="93">
        <f>D464</f>
        <v>15</v>
      </c>
      <c r="E463" s="93">
        <f t="shared" ref="E463:F463" si="140">E464</f>
        <v>15</v>
      </c>
      <c r="F463" s="93">
        <f t="shared" si="140"/>
        <v>15</v>
      </c>
    </row>
    <row r="464" spans="1:6" ht="51" x14ac:dyDescent="0.2">
      <c r="A464" s="21" t="s">
        <v>291</v>
      </c>
      <c r="B464" s="82"/>
      <c r="C464" s="98" t="s">
        <v>222</v>
      </c>
      <c r="D464" s="41">
        <f>D465+D467</f>
        <v>15</v>
      </c>
      <c r="E464" s="41">
        <f t="shared" ref="E464:F464" si="141">E465+E467</f>
        <v>15</v>
      </c>
      <c r="F464" s="41">
        <f t="shared" si="141"/>
        <v>15</v>
      </c>
    </row>
    <row r="465" spans="1:7" ht="25.5" x14ac:dyDescent="0.2">
      <c r="A465" s="74">
        <v>1140123330</v>
      </c>
      <c r="B465" s="16"/>
      <c r="C465" s="98" t="s">
        <v>193</v>
      </c>
      <c r="D465" s="41">
        <f>D466</f>
        <v>12</v>
      </c>
      <c r="E465" s="41">
        <f>E466</f>
        <v>12</v>
      </c>
      <c r="F465" s="41">
        <f>F466</f>
        <v>12</v>
      </c>
    </row>
    <row r="466" spans="1:7" ht="38.25" x14ac:dyDescent="0.2">
      <c r="A466" s="74">
        <v>1140123330</v>
      </c>
      <c r="B466" s="82" t="s">
        <v>211</v>
      </c>
      <c r="C466" s="98" t="s">
        <v>212</v>
      </c>
      <c r="D466" s="41">
        <v>12</v>
      </c>
      <c r="E466" s="41">
        <v>12</v>
      </c>
      <c r="F466" s="41">
        <v>12</v>
      </c>
    </row>
    <row r="467" spans="1:7" ht="29.25" customHeight="1" x14ac:dyDescent="0.2">
      <c r="A467" s="74">
        <v>1140123335</v>
      </c>
      <c r="B467" s="16"/>
      <c r="C467" s="98" t="s">
        <v>223</v>
      </c>
      <c r="D467" s="41">
        <f>D468</f>
        <v>3</v>
      </c>
      <c r="E467" s="41">
        <f>E468</f>
        <v>3</v>
      </c>
      <c r="F467" s="41">
        <f>F468</f>
        <v>3</v>
      </c>
    </row>
    <row r="468" spans="1:7" ht="38.25" x14ac:dyDescent="0.2">
      <c r="A468" s="74">
        <v>1140123335</v>
      </c>
      <c r="B468" s="82" t="s">
        <v>211</v>
      </c>
      <c r="C468" s="98" t="s">
        <v>212</v>
      </c>
      <c r="D468" s="41">
        <v>3</v>
      </c>
      <c r="E468" s="41">
        <v>3</v>
      </c>
      <c r="F468" s="41">
        <v>3</v>
      </c>
    </row>
    <row r="469" spans="1:7" ht="77.25" customHeight="1" x14ac:dyDescent="0.2">
      <c r="A469" s="73" t="s">
        <v>55</v>
      </c>
      <c r="B469" s="16"/>
      <c r="C469" s="53" t="s">
        <v>584</v>
      </c>
      <c r="D469" s="96">
        <f>D470+D492+D499+D507</f>
        <v>107237.4</v>
      </c>
      <c r="E469" s="96">
        <f>E470+E492+E499+E507</f>
        <v>30816.5</v>
      </c>
      <c r="F469" s="96">
        <f>F470+F492+F499+F507</f>
        <v>30841.5</v>
      </c>
      <c r="G469" s="103"/>
    </row>
    <row r="470" spans="1:7" ht="38.25" x14ac:dyDescent="0.2">
      <c r="A470" s="52" t="s">
        <v>56</v>
      </c>
      <c r="B470" s="47"/>
      <c r="C470" s="48" t="s">
        <v>649</v>
      </c>
      <c r="D470" s="93">
        <f>D471+D482+D487</f>
        <v>84776.8</v>
      </c>
      <c r="E470" s="93">
        <f t="shared" ref="E470:F470" si="142">E471+E482+E487</f>
        <v>20727</v>
      </c>
      <c r="F470" s="93">
        <f t="shared" si="142"/>
        <v>15527</v>
      </c>
      <c r="G470" s="103"/>
    </row>
    <row r="471" spans="1:7" ht="38.25" x14ac:dyDescent="0.2">
      <c r="A471" s="21" t="s">
        <v>237</v>
      </c>
      <c r="B471" s="47"/>
      <c r="C471" s="99" t="s">
        <v>607</v>
      </c>
      <c r="D471" s="93">
        <f>D472+D474+D476+D478+D480</f>
        <v>23856.6</v>
      </c>
      <c r="E471" s="93">
        <f t="shared" ref="E471:F471" si="143">E472+E474+E476+E478+E480</f>
        <v>14144.9</v>
      </c>
      <c r="F471" s="93">
        <f t="shared" si="143"/>
        <v>8944.9</v>
      </c>
    </row>
    <row r="472" spans="1:7" ht="42" customHeight="1" x14ac:dyDescent="0.2">
      <c r="A472" s="74">
        <v>1210123505</v>
      </c>
      <c r="B472" s="21"/>
      <c r="C472" s="98" t="s">
        <v>517</v>
      </c>
      <c r="D472" s="41">
        <f>D473</f>
        <v>2608.8999999999996</v>
      </c>
      <c r="E472" s="41">
        <f>E473</f>
        <v>0</v>
      </c>
      <c r="F472" s="41">
        <f>F473</f>
        <v>0</v>
      </c>
    </row>
    <row r="473" spans="1:7" ht="38.25" x14ac:dyDescent="0.2">
      <c r="A473" s="74">
        <v>1210123505</v>
      </c>
      <c r="B473" s="82" t="s">
        <v>211</v>
      </c>
      <c r="C473" s="98" t="s">
        <v>212</v>
      </c>
      <c r="D473" s="39">
        <f>1266.2-65.9+22.4+1233+153.2</f>
        <v>2608.8999999999996</v>
      </c>
      <c r="E473" s="39">
        <v>0</v>
      </c>
      <c r="F473" s="39">
        <v>0</v>
      </c>
    </row>
    <row r="474" spans="1:7" ht="63.75" x14ac:dyDescent="0.2">
      <c r="A474" s="74">
        <v>1210123510</v>
      </c>
      <c r="B474" s="21"/>
      <c r="C474" s="98" t="s">
        <v>748</v>
      </c>
      <c r="D474" s="41">
        <f>D475</f>
        <v>574.70000000000005</v>
      </c>
      <c r="E474" s="41">
        <f t="shared" ref="E474:F474" si="144">E475</f>
        <v>0</v>
      </c>
      <c r="F474" s="41">
        <f t="shared" si="144"/>
        <v>0</v>
      </c>
    </row>
    <row r="475" spans="1:7" ht="38.25" x14ac:dyDescent="0.2">
      <c r="A475" s="74">
        <v>1210123510</v>
      </c>
      <c r="B475" s="82" t="s">
        <v>211</v>
      </c>
      <c r="C475" s="98" t="s">
        <v>212</v>
      </c>
      <c r="D475" s="41">
        <v>574.70000000000005</v>
      </c>
      <c r="E475" s="41">
        <v>0</v>
      </c>
      <c r="F475" s="41">
        <v>0</v>
      </c>
    </row>
    <row r="476" spans="1:7" ht="25.5" x14ac:dyDescent="0.2">
      <c r="A476" s="74">
        <v>1210123515</v>
      </c>
      <c r="B476" s="16"/>
      <c r="C476" s="98" t="s">
        <v>767</v>
      </c>
      <c r="D476" s="41">
        <f>D477</f>
        <v>400</v>
      </c>
      <c r="E476" s="41">
        <f t="shared" ref="E476:F476" si="145">E477</f>
        <v>0</v>
      </c>
      <c r="F476" s="41">
        <f t="shared" si="145"/>
        <v>0</v>
      </c>
    </row>
    <row r="477" spans="1:7" ht="38.25" x14ac:dyDescent="0.2">
      <c r="A477" s="74">
        <v>1210123515</v>
      </c>
      <c r="B477" s="82" t="s">
        <v>211</v>
      </c>
      <c r="C477" s="98" t="s">
        <v>212</v>
      </c>
      <c r="D477" s="41">
        <v>400</v>
      </c>
      <c r="E477" s="41">
        <v>0</v>
      </c>
      <c r="F477" s="41">
        <v>0</v>
      </c>
    </row>
    <row r="478" spans="1:7" ht="63" customHeight="1" x14ac:dyDescent="0.2">
      <c r="A478" s="74">
        <v>1210121100</v>
      </c>
      <c r="B478" s="21"/>
      <c r="C478" s="98" t="s">
        <v>673</v>
      </c>
      <c r="D478" s="41">
        <f>SUM(D479:D479)</f>
        <v>17226</v>
      </c>
      <c r="E478" s="41">
        <f>SUM(E479:E479)</f>
        <v>14144.9</v>
      </c>
      <c r="F478" s="41">
        <f>SUM(F479:F479)</f>
        <v>8944.9</v>
      </c>
    </row>
    <row r="479" spans="1:7" ht="16.5" customHeight="1" x14ac:dyDescent="0.2">
      <c r="A479" s="74">
        <v>1210121100</v>
      </c>
      <c r="B479" s="21" t="s">
        <v>225</v>
      </c>
      <c r="C479" s="98" t="s">
        <v>224</v>
      </c>
      <c r="D479" s="41">
        <v>17226</v>
      </c>
      <c r="E479" s="41">
        <f>14210.8-65.9</f>
        <v>14144.9</v>
      </c>
      <c r="F479" s="41">
        <f>9010.8-65.9</f>
        <v>8944.9</v>
      </c>
    </row>
    <row r="480" spans="1:7" ht="39" customHeight="1" x14ac:dyDescent="0.2">
      <c r="A480" s="74">
        <v>1210121800</v>
      </c>
      <c r="B480" s="16"/>
      <c r="C480" s="98" t="s">
        <v>718</v>
      </c>
      <c r="D480" s="41">
        <f>D481</f>
        <v>3047</v>
      </c>
      <c r="E480" s="41">
        <f>E481</f>
        <v>0</v>
      </c>
      <c r="F480" s="41">
        <f>F481</f>
        <v>0</v>
      </c>
    </row>
    <row r="481" spans="1:7" x14ac:dyDescent="0.2">
      <c r="A481" s="74">
        <v>1210121800</v>
      </c>
      <c r="B481" s="21" t="s">
        <v>225</v>
      </c>
      <c r="C481" s="98" t="s">
        <v>224</v>
      </c>
      <c r="D481" s="41">
        <f>547+2500</f>
        <v>3047</v>
      </c>
      <c r="E481" s="41">
        <v>0</v>
      </c>
      <c r="F481" s="41">
        <v>0</v>
      </c>
    </row>
    <row r="482" spans="1:7" ht="25.5" x14ac:dyDescent="0.2">
      <c r="A482" s="21" t="s">
        <v>289</v>
      </c>
      <c r="B482" s="82"/>
      <c r="C482" s="99" t="s">
        <v>290</v>
      </c>
      <c r="D482" s="41">
        <f>D483+D485</f>
        <v>6582.0999999999995</v>
      </c>
      <c r="E482" s="41">
        <f t="shared" ref="E482:F482" si="146">E483+E485</f>
        <v>6582.0999999999995</v>
      </c>
      <c r="F482" s="41">
        <f t="shared" si="146"/>
        <v>6582.0999999999995</v>
      </c>
    </row>
    <row r="483" spans="1:7" ht="25.5" x14ac:dyDescent="0.2">
      <c r="A483" s="74">
        <v>1210211450</v>
      </c>
      <c r="B483" s="16"/>
      <c r="C483" s="98" t="s">
        <v>674</v>
      </c>
      <c r="D483" s="41">
        <f>D484</f>
        <v>6516.2</v>
      </c>
      <c r="E483" s="41">
        <f>E484</f>
        <v>6516.2</v>
      </c>
      <c r="F483" s="41">
        <f>F484</f>
        <v>6516.2</v>
      </c>
    </row>
    <row r="484" spans="1:7" ht="38.25" x14ac:dyDescent="0.2">
      <c r="A484" s="74">
        <v>1210211450</v>
      </c>
      <c r="B484" s="82" t="s">
        <v>211</v>
      </c>
      <c r="C484" s="98" t="s">
        <v>212</v>
      </c>
      <c r="D484" s="39">
        <v>6516.2</v>
      </c>
      <c r="E484" s="39">
        <v>6516.2</v>
      </c>
      <c r="F484" s="39">
        <v>6516.2</v>
      </c>
    </row>
    <row r="485" spans="1:7" ht="25.5" x14ac:dyDescent="0.2">
      <c r="A485" s="74" t="s">
        <v>680</v>
      </c>
      <c r="B485" s="21"/>
      <c r="C485" s="98" t="s">
        <v>674</v>
      </c>
      <c r="D485" s="39">
        <f>D486</f>
        <v>65.900000000000006</v>
      </c>
      <c r="E485" s="39">
        <f t="shared" ref="E485:F485" si="147">E486</f>
        <v>65.900000000000006</v>
      </c>
      <c r="F485" s="39">
        <f t="shared" si="147"/>
        <v>65.900000000000006</v>
      </c>
    </row>
    <row r="486" spans="1:7" ht="38.25" x14ac:dyDescent="0.2">
      <c r="A486" s="74" t="s">
        <v>680</v>
      </c>
      <c r="B486" s="82" t="s">
        <v>211</v>
      </c>
      <c r="C486" s="98" t="s">
        <v>212</v>
      </c>
      <c r="D486" s="39">
        <v>65.900000000000006</v>
      </c>
      <c r="E486" s="39">
        <v>65.900000000000006</v>
      </c>
      <c r="F486" s="39">
        <v>65.900000000000006</v>
      </c>
    </row>
    <row r="487" spans="1:7" ht="25.5" x14ac:dyDescent="0.2">
      <c r="A487" s="21" t="s">
        <v>772</v>
      </c>
      <c r="B487" s="82"/>
      <c r="C487" s="177" t="s">
        <v>773</v>
      </c>
      <c r="D487" s="39">
        <f>D488+D490</f>
        <v>54338.100000000006</v>
      </c>
      <c r="E487" s="39">
        <f t="shared" ref="E487:F487" si="148">E488+E490</f>
        <v>0</v>
      </c>
      <c r="F487" s="39">
        <f t="shared" si="148"/>
        <v>0</v>
      </c>
    </row>
    <row r="488" spans="1:7" ht="25.5" x14ac:dyDescent="0.2">
      <c r="A488" s="21" t="s">
        <v>774</v>
      </c>
      <c r="B488" s="82"/>
      <c r="C488" s="98" t="s">
        <v>775</v>
      </c>
      <c r="D488" s="39">
        <f>D489</f>
        <v>28181.4</v>
      </c>
      <c r="E488" s="39">
        <f t="shared" ref="E488:F488" si="149">E489</f>
        <v>0</v>
      </c>
      <c r="F488" s="39">
        <f t="shared" si="149"/>
        <v>0</v>
      </c>
    </row>
    <row r="489" spans="1:7" ht="38.25" x14ac:dyDescent="0.2">
      <c r="A489" s="21" t="s">
        <v>774</v>
      </c>
      <c r="B489" s="82" t="s">
        <v>211</v>
      </c>
      <c r="C489" s="98" t="s">
        <v>212</v>
      </c>
      <c r="D489" s="39">
        <v>28181.4</v>
      </c>
      <c r="E489" s="39">
        <v>0</v>
      </c>
      <c r="F489" s="39">
        <v>0</v>
      </c>
    </row>
    <row r="490" spans="1:7" ht="25.5" x14ac:dyDescent="0.2">
      <c r="A490" s="21" t="s">
        <v>776</v>
      </c>
      <c r="B490" s="82"/>
      <c r="C490" s="98" t="s">
        <v>775</v>
      </c>
      <c r="D490" s="39">
        <f>D491</f>
        <v>26156.7</v>
      </c>
      <c r="E490" s="39">
        <f t="shared" ref="E490:F490" si="150">E491</f>
        <v>0</v>
      </c>
      <c r="F490" s="39">
        <f t="shared" si="150"/>
        <v>0</v>
      </c>
    </row>
    <row r="491" spans="1:7" ht="38.25" x14ac:dyDescent="0.2">
      <c r="A491" s="21" t="s">
        <v>776</v>
      </c>
      <c r="B491" s="82" t="s">
        <v>211</v>
      </c>
      <c r="C491" s="98" t="s">
        <v>212</v>
      </c>
      <c r="D491" s="39">
        <v>26156.7</v>
      </c>
      <c r="E491" s="39">
        <v>0</v>
      </c>
      <c r="F491" s="39">
        <v>0</v>
      </c>
    </row>
    <row r="492" spans="1:7" ht="25.5" x14ac:dyDescent="0.2">
      <c r="A492" s="52" t="s">
        <v>57</v>
      </c>
      <c r="B492" s="47"/>
      <c r="C492" s="48" t="s">
        <v>25</v>
      </c>
      <c r="D492" s="93">
        <f>D493+D497</f>
        <v>2678.2</v>
      </c>
      <c r="E492" s="93">
        <f t="shared" ref="E492:F492" si="151">E493+E497</f>
        <v>1325</v>
      </c>
      <c r="F492" s="93">
        <f t="shared" si="151"/>
        <v>850</v>
      </c>
      <c r="G492" s="103"/>
    </row>
    <row r="493" spans="1:7" x14ac:dyDescent="0.2">
      <c r="A493" s="21" t="s">
        <v>238</v>
      </c>
      <c r="B493" s="47"/>
      <c r="C493" s="99" t="s">
        <v>239</v>
      </c>
      <c r="D493" s="39">
        <f t="shared" ref="D493:F494" si="152">D494</f>
        <v>2678.2</v>
      </c>
      <c r="E493" s="39">
        <f t="shared" si="152"/>
        <v>850</v>
      </c>
      <c r="F493" s="39">
        <f t="shared" si="152"/>
        <v>850</v>
      </c>
    </row>
    <row r="494" spans="1:7" ht="25.5" x14ac:dyDescent="0.2">
      <c r="A494" s="79">
        <v>1220123525</v>
      </c>
      <c r="B494" s="16"/>
      <c r="C494" s="98" t="s">
        <v>190</v>
      </c>
      <c r="D494" s="41">
        <f t="shared" si="152"/>
        <v>2678.2</v>
      </c>
      <c r="E494" s="41">
        <f t="shared" si="152"/>
        <v>850</v>
      </c>
      <c r="F494" s="41">
        <f t="shared" si="152"/>
        <v>850</v>
      </c>
    </row>
    <row r="495" spans="1:7" ht="38.25" x14ac:dyDescent="0.2">
      <c r="A495" s="79">
        <v>1220123525</v>
      </c>
      <c r="B495" s="82" t="s">
        <v>211</v>
      </c>
      <c r="C495" s="98" t="s">
        <v>212</v>
      </c>
      <c r="D495" s="41">
        <v>2678.2</v>
      </c>
      <c r="E495" s="41">
        <v>850</v>
      </c>
      <c r="F495" s="41">
        <v>850</v>
      </c>
    </row>
    <row r="496" spans="1:7" ht="38.25" customHeight="1" x14ac:dyDescent="0.2">
      <c r="A496" s="21" t="s">
        <v>519</v>
      </c>
      <c r="B496" s="82"/>
      <c r="C496" s="99" t="s">
        <v>518</v>
      </c>
      <c r="D496" s="41">
        <f>D497</f>
        <v>0</v>
      </c>
      <c r="E496" s="41">
        <f t="shared" ref="E496:F496" si="153">E497</f>
        <v>475</v>
      </c>
      <c r="F496" s="41">
        <f t="shared" si="153"/>
        <v>0</v>
      </c>
    </row>
    <row r="497" spans="1:6" ht="25.5" x14ac:dyDescent="0.2">
      <c r="A497" s="79">
        <v>1220223530</v>
      </c>
      <c r="B497" s="16"/>
      <c r="C497" s="98" t="s">
        <v>191</v>
      </c>
      <c r="D497" s="41">
        <f>D498</f>
        <v>0</v>
      </c>
      <c r="E497" s="41">
        <f>E498</f>
        <v>475</v>
      </c>
      <c r="F497" s="41">
        <f>F498</f>
        <v>0</v>
      </c>
    </row>
    <row r="498" spans="1:6" ht="38.25" x14ac:dyDescent="0.2">
      <c r="A498" s="79">
        <v>1220223530</v>
      </c>
      <c r="B498" s="82" t="s">
        <v>211</v>
      </c>
      <c r="C498" s="98" t="s">
        <v>212</v>
      </c>
      <c r="D498" s="39">
        <v>0</v>
      </c>
      <c r="E498" s="39">
        <v>475</v>
      </c>
      <c r="F498" s="39">
        <v>0</v>
      </c>
    </row>
    <row r="499" spans="1:6" ht="38.25" x14ac:dyDescent="0.2">
      <c r="A499" s="52" t="s">
        <v>58</v>
      </c>
      <c r="B499" s="47"/>
      <c r="C499" s="48" t="s">
        <v>608</v>
      </c>
      <c r="D499" s="93">
        <f>D500</f>
        <v>1755.5</v>
      </c>
      <c r="E499" s="93">
        <f t="shared" ref="E499:F499" si="154">E500</f>
        <v>107</v>
      </c>
      <c r="F499" s="93">
        <f t="shared" si="154"/>
        <v>107</v>
      </c>
    </row>
    <row r="500" spans="1:6" ht="39.75" customHeight="1" x14ac:dyDescent="0.2">
      <c r="A500" s="21" t="s">
        <v>240</v>
      </c>
      <c r="B500" s="47"/>
      <c r="C500" s="99" t="s">
        <v>241</v>
      </c>
      <c r="D500" s="39">
        <f>D501+D503+D505</f>
        <v>1755.5</v>
      </c>
      <c r="E500" s="39">
        <f t="shared" ref="E500:F500" si="155">E501+E503+E505</f>
        <v>107</v>
      </c>
      <c r="F500" s="39">
        <f t="shared" si="155"/>
        <v>107</v>
      </c>
    </row>
    <row r="501" spans="1:6" ht="28.5" customHeight="1" x14ac:dyDescent="0.2">
      <c r="A501" s="21" t="s">
        <v>703</v>
      </c>
      <c r="B501" s="16"/>
      <c r="C501" s="98" t="s">
        <v>704</v>
      </c>
      <c r="D501" s="41">
        <f>D502</f>
        <v>282.8</v>
      </c>
      <c r="E501" s="41">
        <f t="shared" ref="E501:F501" si="156">E502</f>
        <v>0</v>
      </c>
      <c r="F501" s="41">
        <f t="shared" si="156"/>
        <v>0</v>
      </c>
    </row>
    <row r="502" spans="1:6" ht="39.75" customHeight="1" x14ac:dyDescent="0.2">
      <c r="A502" s="21" t="s">
        <v>703</v>
      </c>
      <c r="B502" s="82" t="s">
        <v>211</v>
      </c>
      <c r="C502" s="98" t="s">
        <v>212</v>
      </c>
      <c r="D502" s="41">
        <v>282.8</v>
      </c>
      <c r="E502" s="39">
        <v>0</v>
      </c>
      <c r="F502" s="39">
        <v>0</v>
      </c>
    </row>
    <row r="503" spans="1:6" ht="25.5" x14ac:dyDescent="0.2">
      <c r="A503" s="21" t="s">
        <v>520</v>
      </c>
      <c r="B503" s="16"/>
      <c r="C503" s="98" t="s">
        <v>23</v>
      </c>
      <c r="D503" s="41">
        <f>D504</f>
        <v>1309.7</v>
      </c>
      <c r="E503" s="41">
        <f>E504</f>
        <v>100</v>
      </c>
      <c r="F503" s="41">
        <f>F504</f>
        <v>100</v>
      </c>
    </row>
    <row r="504" spans="1:6" ht="38.25" x14ac:dyDescent="0.2">
      <c r="A504" s="21" t="s">
        <v>520</v>
      </c>
      <c r="B504" s="82" t="s">
        <v>211</v>
      </c>
      <c r="C504" s="98" t="s">
        <v>212</v>
      </c>
      <c r="D504" s="41">
        <f>2062.9-153.2-600</f>
        <v>1309.7</v>
      </c>
      <c r="E504" s="41">
        <v>100</v>
      </c>
      <c r="F504" s="41">
        <v>100</v>
      </c>
    </row>
    <row r="505" spans="1:6" ht="25.5" x14ac:dyDescent="0.2">
      <c r="A505" s="21" t="s">
        <v>521</v>
      </c>
      <c r="B505" s="16"/>
      <c r="C505" s="98" t="s">
        <v>192</v>
      </c>
      <c r="D505" s="41">
        <f>D506</f>
        <v>163</v>
      </c>
      <c r="E505" s="41">
        <f>E506</f>
        <v>7</v>
      </c>
      <c r="F505" s="41">
        <f>F506</f>
        <v>7</v>
      </c>
    </row>
    <row r="506" spans="1:6" ht="38.25" x14ac:dyDescent="0.2">
      <c r="A506" s="21" t="s">
        <v>521</v>
      </c>
      <c r="B506" s="82" t="s">
        <v>211</v>
      </c>
      <c r="C506" s="98" t="s">
        <v>212</v>
      </c>
      <c r="D506" s="41">
        <v>163</v>
      </c>
      <c r="E506" s="41">
        <v>7</v>
      </c>
      <c r="F506" s="41">
        <v>7</v>
      </c>
    </row>
    <row r="507" spans="1:6" ht="51" x14ac:dyDescent="0.2">
      <c r="A507" s="52" t="s">
        <v>522</v>
      </c>
      <c r="B507" s="16"/>
      <c r="C507" s="60" t="s">
        <v>523</v>
      </c>
      <c r="D507" s="41">
        <f>D508</f>
        <v>18026.900000000001</v>
      </c>
      <c r="E507" s="41">
        <f t="shared" ref="E507:F507" si="157">E508</f>
        <v>8657.5</v>
      </c>
      <c r="F507" s="41">
        <f t="shared" si="157"/>
        <v>14357.5</v>
      </c>
    </row>
    <row r="508" spans="1:6" ht="44.25" customHeight="1" x14ac:dyDescent="0.2">
      <c r="A508" s="21" t="s">
        <v>524</v>
      </c>
      <c r="B508" s="16"/>
      <c r="C508" s="98" t="s">
        <v>647</v>
      </c>
      <c r="D508" s="41">
        <f>D509+D511+D513</f>
        <v>18026.900000000001</v>
      </c>
      <c r="E508" s="41">
        <f t="shared" ref="E508:F508" si="158">E509+E511+E513</f>
        <v>8657.5</v>
      </c>
      <c r="F508" s="41">
        <f t="shared" si="158"/>
        <v>14357.5</v>
      </c>
    </row>
    <row r="509" spans="1:6" ht="31.5" customHeight="1" x14ac:dyDescent="0.2">
      <c r="A509" s="21" t="s">
        <v>525</v>
      </c>
      <c r="B509" s="82"/>
      <c r="C509" s="98" t="s">
        <v>526</v>
      </c>
      <c r="D509" s="41">
        <f t="shared" ref="D509" si="159">D510</f>
        <v>9844</v>
      </c>
      <c r="E509" s="41">
        <f t="shared" ref="E509" si="160">E510</f>
        <v>3800</v>
      </c>
      <c r="F509" s="41">
        <f t="shared" ref="F509" si="161">F510</f>
        <v>9500</v>
      </c>
    </row>
    <row r="510" spans="1:6" ht="38.25" x14ac:dyDescent="0.2">
      <c r="A510" s="21" t="s">
        <v>525</v>
      </c>
      <c r="B510" s="82" t="s">
        <v>211</v>
      </c>
      <c r="C510" s="98" t="s">
        <v>212</v>
      </c>
      <c r="D510" s="41">
        <v>9844</v>
      </c>
      <c r="E510" s="41">
        <v>3800</v>
      </c>
      <c r="F510" s="41">
        <v>9500</v>
      </c>
    </row>
    <row r="511" spans="1:6" x14ac:dyDescent="0.2">
      <c r="A511" s="21" t="s">
        <v>768</v>
      </c>
      <c r="B511" s="82"/>
      <c r="C511" s="98" t="s">
        <v>769</v>
      </c>
      <c r="D511" s="41">
        <f>D512</f>
        <v>483.1</v>
      </c>
      <c r="E511" s="41">
        <f t="shared" ref="E511:F511" si="162">E512</f>
        <v>0</v>
      </c>
      <c r="F511" s="41">
        <f t="shared" si="162"/>
        <v>0</v>
      </c>
    </row>
    <row r="512" spans="1:6" ht="38.25" x14ac:dyDescent="0.2">
      <c r="A512" s="21" t="s">
        <v>768</v>
      </c>
      <c r="B512" s="82" t="s">
        <v>211</v>
      </c>
      <c r="C512" s="98" t="s">
        <v>212</v>
      </c>
      <c r="D512" s="41">
        <f>241.5+241.6</f>
        <v>483.1</v>
      </c>
      <c r="E512" s="41">
        <v>0</v>
      </c>
      <c r="F512" s="41">
        <v>0</v>
      </c>
    </row>
    <row r="513" spans="1:6" ht="78.75" customHeight="1" x14ac:dyDescent="0.2">
      <c r="A513" s="21" t="s">
        <v>675</v>
      </c>
      <c r="B513" s="82"/>
      <c r="C513" s="98" t="s">
        <v>676</v>
      </c>
      <c r="D513" s="41">
        <f>D514</f>
        <v>7699.8</v>
      </c>
      <c r="E513" s="41">
        <f t="shared" ref="E513:F513" si="163">E514</f>
        <v>4857.5</v>
      </c>
      <c r="F513" s="41">
        <f t="shared" si="163"/>
        <v>4857.5</v>
      </c>
    </row>
    <row r="514" spans="1:6" x14ac:dyDescent="0.2">
      <c r="A514" s="21" t="s">
        <v>675</v>
      </c>
      <c r="B514" s="21" t="s">
        <v>225</v>
      </c>
      <c r="C514" s="98" t="s">
        <v>224</v>
      </c>
      <c r="D514" s="41">
        <v>7699.8</v>
      </c>
      <c r="E514" s="41">
        <v>4857.5</v>
      </c>
      <c r="F514" s="41">
        <v>4857.5</v>
      </c>
    </row>
    <row r="515" spans="1:6" ht="77.25" x14ac:dyDescent="0.25">
      <c r="A515" s="73" t="s">
        <v>35</v>
      </c>
      <c r="B515" s="3"/>
      <c r="C515" s="141" t="s">
        <v>585</v>
      </c>
      <c r="D515" s="59">
        <f>D516+D528</f>
        <v>26212.2</v>
      </c>
      <c r="E515" s="59">
        <f>E516+E528</f>
        <v>8441.7999999999993</v>
      </c>
      <c r="F515" s="59">
        <f>F516+F528</f>
        <v>10298.9</v>
      </c>
    </row>
    <row r="516" spans="1:6" ht="26.25" x14ac:dyDescent="0.25">
      <c r="A516" s="52" t="s">
        <v>36</v>
      </c>
      <c r="B516" s="3"/>
      <c r="C516" s="46" t="s">
        <v>83</v>
      </c>
      <c r="D516" s="41">
        <f>D517+D522+D525</f>
        <v>23185.9</v>
      </c>
      <c r="E516" s="41">
        <f>E517+E522+E525</f>
        <v>5465.5</v>
      </c>
      <c r="F516" s="41">
        <f>F517+F522+F525</f>
        <v>7322.5999999999995</v>
      </c>
    </row>
    <row r="517" spans="1:6" ht="26.25" x14ac:dyDescent="0.25">
      <c r="A517" s="21" t="s">
        <v>275</v>
      </c>
      <c r="B517" s="3"/>
      <c r="C517" s="104" t="s">
        <v>276</v>
      </c>
      <c r="D517" s="41">
        <f>D518+D520</f>
        <v>3623</v>
      </c>
      <c r="E517" s="41">
        <f t="shared" ref="E517:F517" si="164">E518+E520</f>
        <v>905.8</v>
      </c>
      <c r="F517" s="41">
        <f t="shared" si="164"/>
        <v>1086.9000000000001</v>
      </c>
    </row>
    <row r="518" spans="1:6" ht="39" x14ac:dyDescent="0.25">
      <c r="A518" s="21" t="s">
        <v>305</v>
      </c>
      <c r="B518" s="3"/>
      <c r="C518" s="128" t="s">
        <v>202</v>
      </c>
      <c r="D518" s="41">
        <f t="shared" ref="D518:F518" si="165">D519</f>
        <v>724.6</v>
      </c>
      <c r="E518" s="41">
        <f t="shared" si="165"/>
        <v>905.8</v>
      </c>
      <c r="F518" s="41">
        <f t="shared" si="165"/>
        <v>1086.9000000000001</v>
      </c>
    </row>
    <row r="519" spans="1:6" x14ac:dyDescent="0.2">
      <c r="A519" s="21" t="s">
        <v>305</v>
      </c>
      <c r="B519" s="82" t="s">
        <v>248</v>
      </c>
      <c r="C519" s="102" t="s">
        <v>247</v>
      </c>
      <c r="D519" s="41">
        <v>724.6</v>
      </c>
      <c r="E519" s="41">
        <v>905.8</v>
      </c>
      <c r="F519" s="41">
        <v>1086.9000000000001</v>
      </c>
    </row>
    <row r="520" spans="1:6" ht="38.25" x14ac:dyDescent="0.2">
      <c r="A520" s="21" t="s">
        <v>701</v>
      </c>
      <c r="B520" s="82"/>
      <c r="C520" s="124" t="s">
        <v>702</v>
      </c>
      <c r="D520" s="41">
        <f>D521</f>
        <v>2898.4</v>
      </c>
      <c r="E520" s="41">
        <f t="shared" ref="E520:F520" si="166">E521</f>
        <v>0</v>
      </c>
      <c r="F520" s="41">
        <f t="shared" si="166"/>
        <v>0</v>
      </c>
    </row>
    <row r="521" spans="1:6" x14ac:dyDescent="0.2">
      <c r="A521" s="21" t="s">
        <v>701</v>
      </c>
      <c r="B521" s="82" t="s">
        <v>248</v>
      </c>
      <c r="C521" s="102" t="s">
        <v>247</v>
      </c>
      <c r="D521" s="41">
        <v>2898.4</v>
      </c>
      <c r="E521" s="41">
        <v>0</v>
      </c>
      <c r="F521" s="41">
        <v>0</v>
      </c>
    </row>
    <row r="522" spans="1:6" ht="76.5" x14ac:dyDescent="0.2">
      <c r="A522" s="21" t="s">
        <v>277</v>
      </c>
      <c r="B522" s="35"/>
      <c r="C522" s="97" t="s">
        <v>560</v>
      </c>
      <c r="D522" s="39">
        <f>D523</f>
        <v>5072.3</v>
      </c>
      <c r="E522" s="39">
        <f t="shared" ref="E522:F522" si="167">E523</f>
        <v>1690.8</v>
      </c>
      <c r="F522" s="39">
        <f t="shared" si="167"/>
        <v>3381.5</v>
      </c>
    </row>
    <row r="523" spans="1:6" ht="51" x14ac:dyDescent="0.2">
      <c r="A523" s="79" t="s">
        <v>696</v>
      </c>
      <c r="B523" s="16"/>
      <c r="C523" s="98" t="s">
        <v>168</v>
      </c>
      <c r="D523" s="39">
        <f>D524</f>
        <v>5072.3</v>
      </c>
      <c r="E523" s="39">
        <f>E524</f>
        <v>1690.8</v>
      </c>
      <c r="F523" s="39">
        <f>F524</f>
        <v>3381.5</v>
      </c>
    </row>
    <row r="524" spans="1:6" x14ac:dyDescent="0.2">
      <c r="A524" s="79" t="s">
        <v>696</v>
      </c>
      <c r="B524" s="82" t="s">
        <v>248</v>
      </c>
      <c r="C524" s="102" t="s">
        <v>247</v>
      </c>
      <c r="D524" s="39">
        <v>5072.3</v>
      </c>
      <c r="E524" s="39">
        <v>1690.8</v>
      </c>
      <c r="F524" s="39">
        <v>3381.5</v>
      </c>
    </row>
    <row r="525" spans="1:6" ht="25.5" x14ac:dyDescent="0.2">
      <c r="A525" s="21" t="s">
        <v>300</v>
      </c>
      <c r="B525" s="82"/>
      <c r="C525" s="104" t="s">
        <v>331</v>
      </c>
      <c r="D525" s="41">
        <f t="shared" ref="D525:F526" si="168">D526</f>
        <v>14490.6</v>
      </c>
      <c r="E525" s="41">
        <f t="shared" si="168"/>
        <v>2868.9</v>
      </c>
      <c r="F525" s="41">
        <f t="shared" si="168"/>
        <v>2854.2</v>
      </c>
    </row>
    <row r="526" spans="1:6" ht="51" x14ac:dyDescent="0.2">
      <c r="A526" s="74" t="s">
        <v>330</v>
      </c>
      <c r="B526" s="16"/>
      <c r="C526" s="98" t="s">
        <v>317</v>
      </c>
      <c r="D526" s="94">
        <f t="shared" si="168"/>
        <v>14490.6</v>
      </c>
      <c r="E526" s="94">
        <f t="shared" si="168"/>
        <v>2868.9</v>
      </c>
      <c r="F526" s="94">
        <f t="shared" si="168"/>
        <v>2854.2</v>
      </c>
    </row>
    <row r="527" spans="1:6" ht="26.25" customHeight="1" x14ac:dyDescent="0.2">
      <c r="A527" s="74" t="s">
        <v>330</v>
      </c>
      <c r="B527" s="82" t="s">
        <v>260</v>
      </c>
      <c r="C527" s="98" t="s">
        <v>249</v>
      </c>
      <c r="D527" s="94">
        <f>2854.2+11592.5+43.9</f>
        <v>14490.6</v>
      </c>
      <c r="E527" s="94">
        <v>2868.9</v>
      </c>
      <c r="F527" s="94">
        <v>2854.2</v>
      </c>
    </row>
    <row r="528" spans="1:6" ht="25.5" x14ac:dyDescent="0.2">
      <c r="A528" s="52" t="s">
        <v>37</v>
      </c>
      <c r="B528" s="16"/>
      <c r="C528" s="46" t="s">
        <v>80</v>
      </c>
      <c r="D528" s="93">
        <f>D529+D532</f>
        <v>3026.3</v>
      </c>
      <c r="E528" s="93">
        <f>E529+E532</f>
        <v>2976.3</v>
      </c>
      <c r="F528" s="93">
        <f>F529+F532</f>
        <v>2976.3</v>
      </c>
    </row>
    <row r="529" spans="1:6" ht="51" x14ac:dyDescent="0.2">
      <c r="A529" s="21" t="s">
        <v>527</v>
      </c>
      <c r="B529" s="16"/>
      <c r="C529" s="104" t="s">
        <v>301</v>
      </c>
      <c r="D529" s="41">
        <f t="shared" ref="D529:F530" si="169">D530</f>
        <v>688</v>
      </c>
      <c r="E529" s="41">
        <f t="shared" si="169"/>
        <v>638</v>
      </c>
      <c r="F529" s="41">
        <f t="shared" si="169"/>
        <v>638</v>
      </c>
    </row>
    <row r="530" spans="1:6" ht="51" x14ac:dyDescent="0.2">
      <c r="A530" s="79">
        <v>1320127100</v>
      </c>
      <c r="B530" s="16"/>
      <c r="C530" s="98" t="s">
        <v>3</v>
      </c>
      <c r="D530" s="41">
        <f t="shared" si="169"/>
        <v>688</v>
      </c>
      <c r="E530" s="41">
        <f t="shared" si="169"/>
        <v>638</v>
      </c>
      <c r="F530" s="41">
        <f t="shared" si="169"/>
        <v>638</v>
      </c>
    </row>
    <row r="531" spans="1:6" ht="63.75" x14ac:dyDescent="0.2">
      <c r="A531" s="79">
        <v>1320127100</v>
      </c>
      <c r="B531" s="16" t="s">
        <v>19</v>
      </c>
      <c r="C531" s="99" t="s">
        <v>360</v>
      </c>
      <c r="D531" s="41">
        <v>688</v>
      </c>
      <c r="E531" s="41">
        <v>638</v>
      </c>
      <c r="F531" s="41">
        <v>638</v>
      </c>
    </row>
    <row r="532" spans="1:6" ht="39" x14ac:dyDescent="0.25">
      <c r="A532" s="21" t="s">
        <v>278</v>
      </c>
      <c r="B532" s="3"/>
      <c r="C532" s="104" t="s">
        <v>645</v>
      </c>
      <c r="D532" s="39">
        <f t="shared" ref="D532:F533" si="170">D533</f>
        <v>2338.3000000000002</v>
      </c>
      <c r="E532" s="39">
        <f t="shared" si="170"/>
        <v>2338.3000000000002</v>
      </c>
      <c r="F532" s="39">
        <f t="shared" si="170"/>
        <v>2338.3000000000002</v>
      </c>
    </row>
    <row r="533" spans="1:6" ht="26.25" x14ac:dyDescent="0.25">
      <c r="A533" s="79">
        <v>1320225100</v>
      </c>
      <c r="B533" s="3"/>
      <c r="C533" s="99" t="s">
        <v>362</v>
      </c>
      <c r="D533" s="41">
        <f t="shared" si="170"/>
        <v>2338.3000000000002</v>
      </c>
      <c r="E533" s="41">
        <f t="shared" si="170"/>
        <v>2338.3000000000002</v>
      </c>
      <c r="F533" s="41">
        <f t="shared" si="170"/>
        <v>2338.3000000000002</v>
      </c>
    </row>
    <row r="534" spans="1:6" ht="25.5" x14ac:dyDescent="0.2">
      <c r="A534" s="79">
        <v>1320225100</v>
      </c>
      <c r="B534" s="82" t="s">
        <v>279</v>
      </c>
      <c r="C534" s="98" t="s">
        <v>280</v>
      </c>
      <c r="D534" s="39">
        <v>2338.3000000000002</v>
      </c>
      <c r="E534" s="39">
        <v>2338.3000000000002</v>
      </c>
      <c r="F534" s="39">
        <v>2338.3000000000002</v>
      </c>
    </row>
    <row r="535" spans="1:6" ht="77.25" customHeight="1" x14ac:dyDescent="0.2">
      <c r="A535" s="76">
        <v>1400000000</v>
      </c>
      <c r="B535" s="16"/>
      <c r="C535" s="141" t="s">
        <v>586</v>
      </c>
      <c r="D535" s="96">
        <f>D536</f>
        <v>127117.7</v>
      </c>
      <c r="E535" s="96">
        <f t="shared" ref="E535:F535" si="171">E536</f>
        <v>0</v>
      </c>
      <c r="F535" s="96">
        <f t="shared" si="171"/>
        <v>0</v>
      </c>
    </row>
    <row r="536" spans="1:6" ht="76.5" x14ac:dyDescent="0.2">
      <c r="A536" s="75">
        <v>1410000000</v>
      </c>
      <c r="B536" s="16"/>
      <c r="C536" s="48" t="s">
        <v>216</v>
      </c>
      <c r="D536" s="93">
        <f>D537+D542</f>
        <v>127117.7</v>
      </c>
      <c r="E536" s="93">
        <f>E537+E542</f>
        <v>0</v>
      </c>
      <c r="F536" s="93">
        <f>F537+F542</f>
        <v>0</v>
      </c>
    </row>
    <row r="537" spans="1:6" ht="89.25" x14ac:dyDescent="0.2">
      <c r="A537" s="74">
        <v>1410200000</v>
      </c>
      <c r="B537" s="16"/>
      <c r="C537" s="98" t="s">
        <v>363</v>
      </c>
      <c r="D537" s="41">
        <f>D538+D540</f>
        <v>19594.5</v>
      </c>
      <c r="E537" s="41">
        <f t="shared" ref="E537:F537" si="172">E538+E540</f>
        <v>0</v>
      </c>
      <c r="F537" s="41">
        <f t="shared" si="172"/>
        <v>0</v>
      </c>
    </row>
    <row r="538" spans="1:6" ht="38.25" x14ac:dyDescent="0.2">
      <c r="A538" s="74">
        <v>1410223125</v>
      </c>
      <c r="B538" s="82"/>
      <c r="C538" s="98" t="s">
        <v>639</v>
      </c>
      <c r="D538" s="41">
        <f>D539</f>
        <v>676.30000000000007</v>
      </c>
      <c r="E538" s="41">
        <f>E539</f>
        <v>0</v>
      </c>
      <c r="F538" s="41">
        <f>F539</f>
        <v>0</v>
      </c>
    </row>
    <row r="539" spans="1:6" ht="38.25" x14ac:dyDescent="0.2">
      <c r="A539" s="74">
        <v>1410223125</v>
      </c>
      <c r="B539" s="82" t="s">
        <v>211</v>
      </c>
      <c r="C539" s="98" t="s">
        <v>212</v>
      </c>
      <c r="D539" s="41">
        <f>685.6-9.3</f>
        <v>676.30000000000007</v>
      </c>
      <c r="E539" s="41">
        <v>0</v>
      </c>
      <c r="F539" s="41">
        <v>0</v>
      </c>
    </row>
    <row r="540" spans="1:6" ht="25.5" x14ac:dyDescent="0.2">
      <c r="A540" s="74">
        <v>1410223130</v>
      </c>
      <c r="B540" s="82"/>
      <c r="C540" s="108" t="s">
        <v>640</v>
      </c>
      <c r="D540" s="41">
        <f>D541</f>
        <v>18918.2</v>
      </c>
      <c r="E540" s="41">
        <f t="shared" ref="E540:F540" si="173">E541</f>
        <v>0</v>
      </c>
      <c r="F540" s="41">
        <f t="shared" si="173"/>
        <v>0</v>
      </c>
    </row>
    <row r="541" spans="1:6" ht="38.25" x14ac:dyDescent="0.2">
      <c r="A541" s="74">
        <v>1410223130</v>
      </c>
      <c r="B541" s="82" t="s">
        <v>211</v>
      </c>
      <c r="C541" s="98" t="s">
        <v>212</v>
      </c>
      <c r="D541" s="41">
        <f>14930.6-930.6+4918.2</f>
        <v>18918.2</v>
      </c>
      <c r="E541" s="41">
        <v>0</v>
      </c>
      <c r="F541" s="41">
        <v>0</v>
      </c>
    </row>
    <row r="542" spans="1:6" ht="51" x14ac:dyDescent="0.2">
      <c r="A542" s="74" t="s">
        <v>376</v>
      </c>
      <c r="B542" s="82"/>
      <c r="C542" s="98" t="s">
        <v>377</v>
      </c>
      <c r="D542" s="41">
        <f>D543+D545</f>
        <v>107523.2</v>
      </c>
      <c r="E542" s="41">
        <f t="shared" ref="E542:F542" si="174">E543</f>
        <v>0</v>
      </c>
      <c r="F542" s="41">
        <f t="shared" si="174"/>
        <v>0</v>
      </c>
    </row>
    <row r="543" spans="1:6" ht="25.5" x14ac:dyDescent="0.2">
      <c r="A543" s="74" t="s">
        <v>349</v>
      </c>
      <c r="B543" s="16"/>
      <c r="C543" s="98" t="s">
        <v>316</v>
      </c>
      <c r="D543" s="41">
        <f>D544</f>
        <v>13527.6</v>
      </c>
      <c r="E543" s="41">
        <f>E544</f>
        <v>0</v>
      </c>
      <c r="F543" s="41">
        <f>F544</f>
        <v>0</v>
      </c>
    </row>
    <row r="544" spans="1:6" ht="38.25" x14ac:dyDescent="0.2">
      <c r="A544" s="74" t="s">
        <v>349</v>
      </c>
      <c r="B544" s="82" t="s">
        <v>211</v>
      </c>
      <c r="C544" s="98" t="s">
        <v>212</v>
      </c>
      <c r="D544" s="41">
        <v>13527.6</v>
      </c>
      <c r="E544" s="41">
        <v>0</v>
      </c>
      <c r="F544" s="41">
        <v>0</v>
      </c>
    </row>
    <row r="545" spans="1:7" ht="51" x14ac:dyDescent="0.2">
      <c r="A545" s="129" t="s">
        <v>664</v>
      </c>
      <c r="B545" s="16"/>
      <c r="C545" s="98" t="s">
        <v>665</v>
      </c>
      <c r="D545" s="41">
        <f>D546</f>
        <v>93995.599999999991</v>
      </c>
      <c r="E545" s="41">
        <f>E546</f>
        <v>0</v>
      </c>
      <c r="F545" s="41">
        <f>F546</f>
        <v>0</v>
      </c>
    </row>
    <row r="546" spans="1:7" x14ac:dyDescent="0.2">
      <c r="A546" s="129" t="s">
        <v>664</v>
      </c>
      <c r="B546" s="21" t="s">
        <v>225</v>
      </c>
      <c r="C546" s="98" t="s">
        <v>224</v>
      </c>
      <c r="D546" s="41">
        <f>93055.7+939.9</f>
        <v>93995.599999999991</v>
      </c>
      <c r="E546" s="41">
        <v>0</v>
      </c>
      <c r="F546" s="41">
        <v>0</v>
      </c>
    </row>
    <row r="547" spans="1:7" ht="116.25" customHeight="1" x14ac:dyDescent="0.2">
      <c r="A547" s="73" t="s">
        <v>540</v>
      </c>
      <c r="B547" s="82"/>
      <c r="C547" s="141" t="s">
        <v>587</v>
      </c>
      <c r="D547" s="96">
        <f>D548+D552</f>
        <v>19349</v>
      </c>
      <c r="E547" s="96">
        <f>E548</f>
        <v>300</v>
      </c>
      <c r="F547" s="96">
        <f>F548</f>
        <v>300</v>
      </c>
    </row>
    <row r="548" spans="1:7" ht="51" x14ac:dyDescent="0.2">
      <c r="A548" s="140">
        <v>1510000000</v>
      </c>
      <c r="B548" s="82"/>
      <c r="C548" s="48" t="s">
        <v>361</v>
      </c>
      <c r="D548" s="93">
        <f>D549</f>
        <v>0</v>
      </c>
      <c r="E548" s="93">
        <f t="shared" ref="E548:F549" si="175">E549</f>
        <v>300</v>
      </c>
      <c r="F548" s="93">
        <f t="shared" si="175"/>
        <v>300</v>
      </c>
    </row>
    <row r="549" spans="1:7" ht="51" x14ac:dyDescent="0.2">
      <c r="A549" s="129">
        <v>1510300000</v>
      </c>
      <c r="B549" s="82"/>
      <c r="C549" s="98" t="s">
        <v>541</v>
      </c>
      <c r="D549" s="41">
        <f>D550</f>
        <v>0</v>
      </c>
      <c r="E549" s="41">
        <f t="shared" si="175"/>
        <v>300</v>
      </c>
      <c r="F549" s="41">
        <f t="shared" si="175"/>
        <v>300</v>
      </c>
    </row>
    <row r="550" spans="1:7" ht="51" x14ac:dyDescent="0.2">
      <c r="A550" s="168" t="s">
        <v>730</v>
      </c>
      <c r="B550" s="82"/>
      <c r="C550" s="99" t="s">
        <v>731</v>
      </c>
      <c r="D550" s="41">
        <f>D551</f>
        <v>0</v>
      </c>
      <c r="E550" s="41">
        <f t="shared" ref="E550:F550" si="176">E551</f>
        <v>300</v>
      </c>
      <c r="F550" s="41">
        <f t="shared" si="176"/>
        <v>300</v>
      </c>
    </row>
    <row r="551" spans="1:7" ht="38.25" x14ac:dyDescent="0.2">
      <c r="A551" s="168" t="s">
        <v>730</v>
      </c>
      <c r="B551" s="82" t="s">
        <v>211</v>
      </c>
      <c r="C551" s="99" t="s">
        <v>212</v>
      </c>
      <c r="D551" s="41">
        <v>0</v>
      </c>
      <c r="E551" s="41">
        <v>300</v>
      </c>
      <c r="F551" s="41">
        <v>300</v>
      </c>
    </row>
    <row r="552" spans="1:7" ht="51" x14ac:dyDescent="0.2">
      <c r="A552" s="140">
        <v>1520000000</v>
      </c>
      <c r="B552" s="82"/>
      <c r="C552" s="48" t="s">
        <v>763</v>
      </c>
      <c r="D552" s="176">
        <f>D553</f>
        <v>19349</v>
      </c>
      <c r="E552" s="176">
        <f t="shared" ref="E552:F554" si="177">E553</f>
        <v>0</v>
      </c>
      <c r="F552" s="176">
        <f t="shared" si="177"/>
        <v>0</v>
      </c>
    </row>
    <row r="553" spans="1:7" ht="38.25" x14ac:dyDescent="0.2">
      <c r="A553" s="129">
        <v>1520400000</v>
      </c>
      <c r="B553" s="82"/>
      <c r="C553" s="98" t="s">
        <v>770</v>
      </c>
      <c r="D553" s="170">
        <f>D554</f>
        <v>19349</v>
      </c>
      <c r="E553" s="170">
        <f t="shared" si="177"/>
        <v>0</v>
      </c>
      <c r="F553" s="170">
        <f t="shared" si="177"/>
        <v>0</v>
      </c>
    </row>
    <row r="554" spans="1:7" ht="51" x14ac:dyDescent="0.2">
      <c r="A554" s="129">
        <v>1520424016</v>
      </c>
      <c r="B554" s="82"/>
      <c r="C554" s="98" t="s">
        <v>764</v>
      </c>
      <c r="D554" s="170">
        <f>D555</f>
        <v>19349</v>
      </c>
      <c r="E554" s="170">
        <f t="shared" si="177"/>
        <v>0</v>
      </c>
      <c r="F554" s="170">
        <f t="shared" si="177"/>
        <v>0</v>
      </c>
    </row>
    <row r="555" spans="1:7" ht="38.25" x14ac:dyDescent="0.2">
      <c r="A555" s="129">
        <v>1520424016</v>
      </c>
      <c r="B555" s="166" t="s">
        <v>211</v>
      </c>
      <c r="C555" s="169" t="s">
        <v>212</v>
      </c>
      <c r="D555" s="39">
        <f>31000+19963.4-31614.4</f>
        <v>19349</v>
      </c>
      <c r="E555" s="170">
        <v>0</v>
      </c>
      <c r="F555" s="170">
        <v>0</v>
      </c>
    </row>
    <row r="556" spans="1:7" ht="80.25" customHeight="1" x14ac:dyDescent="0.25">
      <c r="A556" s="73" t="s">
        <v>227</v>
      </c>
      <c r="B556" s="16"/>
      <c r="C556" s="64" t="s">
        <v>588</v>
      </c>
      <c r="D556" s="59">
        <f t="shared" ref="D556:F556" si="178">D557</f>
        <v>4945.8999999999996</v>
      </c>
      <c r="E556" s="59">
        <f t="shared" si="178"/>
        <v>6914.2999999999993</v>
      </c>
      <c r="F556" s="59">
        <f t="shared" si="178"/>
        <v>4697.2</v>
      </c>
      <c r="G556" s="103"/>
    </row>
    <row r="557" spans="1:7" ht="38.25" x14ac:dyDescent="0.2">
      <c r="A557" s="52" t="s">
        <v>228</v>
      </c>
      <c r="B557" s="47"/>
      <c r="C557" s="48" t="s">
        <v>229</v>
      </c>
      <c r="D557" s="93">
        <f>D558+D571</f>
        <v>4945.8999999999996</v>
      </c>
      <c r="E557" s="93">
        <f>E558+E571</f>
        <v>6914.2999999999993</v>
      </c>
      <c r="F557" s="93">
        <f>F558+F571</f>
        <v>4697.2</v>
      </c>
      <c r="G557" s="103"/>
    </row>
    <row r="558" spans="1:7" ht="38.25" x14ac:dyDescent="0.2">
      <c r="A558" s="21" t="s">
        <v>230</v>
      </c>
      <c r="B558" s="82"/>
      <c r="C558" s="98" t="s">
        <v>231</v>
      </c>
      <c r="D558" s="41">
        <f>D559+D561+D563+D565+D567+D569</f>
        <v>1000</v>
      </c>
      <c r="E558" s="41">
        <f t="shared" ref="E558:F558" si="179">E559+E561+E563+E565+E567+E569</f>
        <v>2810.6</v>
      </c>
      <c r="F558" s="41">
        <f t="shared" si="179"/>
        <v>429.4</v>
      </c>
      <c r="G558" s="103"/>
    </row>
    <row r="559" spans="1:7" ht="38.25" x14ac:dyDescent="0.2">
      <c r="A559" s="21" t="s">
        <v>530</v>
      </c>
      <c r="B559" s="82"/>
      <c r="C559" s="98" t="s">
        <v>339</v>
      </c>
      <c r="D559" s="41">
        <f>D560</f>
        <v>0</v>
      </c>
      <c r="E559" s="41">
        <f>E560</f>
        <v>2381.1999999999998</v>
      </c>
      <c r="F559" s="41">
        <f>F560</f>
        <v>0</v>
      </c>
      <c r="G559" s="103"/>
    </row>
    <row r="560" spans="1:7" ht="38.25" x14ac:dyDescent="0.2">
      <c r="A560" s="21" t="s">
        <v>530</v>
      </c>
      <c r="B560" s="82" t="s">
        <v>211</v>
      </c>
      <c r="C560" s="98" t="s">
        <v>212</v>
      </c>
      <c r="D560" s="41">
        <v>0</v>
      </c>
      <c r="E560" s="41">
        <v>2381.1999999999998</v>
      </c>
      <c r="F560" s="41">
        <v>0</v>
      </c>
    </row>
    <row r="561" spans="1:6" ht="25.5" x14ac:dyDescent="0.2">
      <c r="A561" s="21" t="s">
        <v>688</v>
      </c>
      <c r="B561" s="82"/>
      <c r="C561" s="98" t="s">
        <v>689</v>
      </c>
      <c r="D561" s="41">
        <f>D562</f>
        <v>0</v>
      </c>
      <c r="E561" s="41">
        <f t="shared" ref="E561:F561" si="180">E562</f>
        <v>0</v>
      </c>
      <c r="F561" s="41">
        <f t="shared" si="180"/>
        <v>429.4</v>
      </c>
    </row>
    <row r="562" spans="1:6" ht="38.25" x14ac:dyDescent="0.2">
      <c r="A562" s="21" t="s">
        <v>688</v>
      </c>
      <c r="B562" s="82" t="s">
        <v>211</v>
      </c>
      <c r="C562" s="98" t="s">
        <v>212</v>
      </c>
      <c r="D562" s="41">
        <v>0</v>
      </c>
      <c r="E562" s="41">
        <v>0</v>
      </c>
      <c r="F562" s="41">
        <v>429.4</v>
      </c>
    </row>
    <row r="563" spans="1:6" x14ac:dyDescent="0.2">
      <c r="A563" s="21" t="s">
        <v>531</v>
      </c>
      <c r="B563" s="16"/>
      <c r="C563" s="98" t="s">
        <v>329</v>
      </c>
      <c r="D563" s="41">
        <f>D564</f>
        <v>400</v>
      </c>
      <c r="E563" s="41">
        <f>E564</f>
        <v>400</v>
      </c>
      <c r="F563" s="41">
        <f>F564</f>
        <v>0</v>
      </c>
    </row>
    <row r="564" spans="1:6" ht="38.25" x14ac:dyDescent="0.2">
      <c r="A564" s="21" t="s">
        <v>531</v>
      </c>
      <c r="B564" s="82" t="s">
        <v>211</v>
      </c>
      <c r="C564" s="98" t="s">
        <v>212</v>
      </c>
      <c r="D564" s="41">
        <v>400</v>
      </c>
      <c r="E564" s="41">
        <v>400</v>
      </c>
      <c r="F564" s="41">
        <v>0</v>
      </c>
    </row>
    <row r="565" spans="1:6" ht="38.25" x14ac:dyDescent="0.2">
      <c r="A565" s="21" t="s">
        <v>532</v>
      </c>
      <c r="B565" s="16"/>
      <c r="C565" s="98" t="s">
        <v>357</v>
      </c>
      <c r="D565" s="94">
        <f>D566</f>
        <v>0</v>
      </c>
      <c r="E565" s="94">
        <f>E566</f>
        <v>23.4</v>
      </c>
      <c r="F565" s="94">
        <f>F566</f>
        <v>0</v>
      </c>
    </row>
    <row r="566" spans="1:6" ht="38.25" x14ac:dyDescent="0.2">
      <c r="A566" s="21" t="s">
        <v>532</v>
      </c>
      <c r="B566" s="82" t="s">
        <v>211</v>
      </c>
      <c r="C566" s="98" t="s">
        <v>212</v>
      </c>
      <c r="D566" s="41">
        <v>0</v>
      </c>
      <c r="E566" s="41">
        <v>23.4</v>
      </c>
      <c r="F566" s="41">
        <v>0</v>
      </c>
    </row>
    <row r="567" spans="1:6" ht="25.5" x14ac:dyDescent="0.2">
      <c r="A567" s="21" t="s">
        <v>533</v>
      </c>
      <c r="B567" s="16"/>
      <c r="C567" s="98" t="s">
        <v>358</v>
      </c>
      <c r="D567" s="94">
        <f>D568</f>
        <v>0</v>
      </c>
      <c r="E567" s="94">
        <f>E568</f>
        <v>6</v>
      </c>
      <c r="F567" s="94">
        <f>F568</f>
        <v>0</v>
      </c>
    </row>
    <row r="568" spans="1:6" ht="38.25" x14ac:dyDescent="0.2">
      <c r="A568" s="21" t="s">
        <v>533</v>
      </c>
      <c r="B568" s="82" t="s">
        <v>211</v>
      </c>
      <c r="C568" s="98" t="s">
        <v>212</v>
      </c>
      <c r="D568" s="41">
        <v>0</v>
      </c>
      <c r="E568" s="41">
        <v>6</v>
      </c>
      <c r="F568" s="41">
        <v>0</v>
      </c>
    </row>
    <row r="569" spans="1:6" x14ac:dyDescent="0.2">
      <c r="A569" s="21" t="s">
        <v>630</v>
      </c>
      <c r="B569" s="82"/>
      <c r="C569" s="98" t="s">
        <v>598</v>
      </c>
      <c r="D569" s="41">
        <f>D570</f>
        <v>600</v>
      </c>
      <c r="E569" s="41">
        <f t="shared" ref="E569:F569" si="181">E570</f>
        <v>0</v>
      </c>
      <c r="F569" s="41">
        <f t="shared" si="181"/>
        <v>0</v>
      </c>
    </row>
    <row r="570" spans="1:6" ht="38.25" x14ac:dyDescent="0.2">
      <c r="A570" s="21" t="s">
        <v>630</v>
      </c>
      <c r="B570" s="82" t="s">
        <v>211</v>
      </c>
      <c r="C570" s="98" t="s">
        <v>212</v>
      </c>
      <c r="D570" s="41">
        <v>600</v>
      </c>
      <c r="E570" s="41">
        <v>0</v>
      </c>
      <c r="F570" s="41">
        <v>0</v>
      </c>
    </row>
    <row r="571" spans="1:6" ht="53.25" customHeight="1" x14ac:dyDescent="0.2">
      <c r="A571" s="51" t="s">
        <v>528</v>
      </c>
      <c r="B571" s="82"/>
      <c r="C571" s="98" t="s">
        <v>529</v>
      </c>
      <c r="D571" s="41">
        <f>D572+D574</f>
        <v>3945.9</v>
      </c>
      <c r="E571" s="41">
        <f t="shared" ref="E571:F571" si="182">E572+E574</f>
        <v>4103.7</v>
      </c>
      <c r="F571" s="41">
        <f t="shared" si="182"/>
        <v>4267.8</v>
      </c>
    </row>
    <row r="572" spans="1:6" ht="38.25" x14ac:dyDescent="0.2">
      <c r="A572" s="51" t="s">
        <v>353</v>
      </c>
      <c r="B572" s="82"/>
      <c r="C572" s="98" t="s">
        <v>350</v>
      </c>
      <c r="D572" s="41">
        <f>D573</f>
        <v>394.6</v>
      </c>
      <c r="E572" s="41">
        <f>E573</f>
        <v>410.4</v>
      </c>
      <c r="F572" s="41">
        <f>F573</f>
        <v>426.8</v>
      </c>
    </row>
    <row r="573" spans="1:6" ht="38.25" x14ac:dyDescent="0.2">
      <c r="A573" s="51" t="s">
        <v>353</v>
      </c>
      <c r="B573" s="82" t="s">
        <v>211</v>
      </c>
      <c r="C573" s="98" t="s">
        <v>212</v>
      </c>
      <c r="D573" s="39">
        <v>394.6</v>
      </c>
      <c r="E573" s="39">
        <v>410.4</v>
      </c>
      <c r="F573" s="39">
        <v>426.8</v>
      </c>
    </row>
    <row r="574" spans="1:6" ht="51" x14ac:dyDescent="0.2">
      <c r="A574" s="51" t="s">
        <v>354</v>
      </c>
      <c r="B574" s="82"/>
      <c r="C574" s="98" t="s">
        <v>348</v>
      </c>
      <c r="D574" s="41">
        <f>D575</f>
        <v>3551.3</v>
      </c>
      <c r="E574" s="41">
        <f>E575</f>
        <v>3693.3</v>
      </c>
      <c r="F574" s="41">
        <f>F575</f>
        <v>3841</v>
      </c>
    </row>
    <row r="575" spans="1:6" ht="38.25" x14ac:dyDescent="0.2">
      <c r="A575" s="51" t="s">
        <v>354</v>
      </c>
      <c r="B575" s="82" t="s">
        <v>211</v>
      </c>
      <c r="C575" s="98" t="s">
        <v>212</v>
      </c>
      <c r="D575" s="41">
        <v>3551.3</v>
      </c>
      <c r="E575" s="41">
        <v>3693.3</v>
      </c>
      <c r="F575" s="41">
        <v>3841</v>
      </c>
    </row>
    <row r="576" spans="1:6" ht="25.5" x14ac:dyDescent="0.2">
      <c r="A576" s="83">
        <v>9900000000</v>
      </c>
      <c r="B576" s="73"/>
      <c r="C576" s="122" t="s">
        <v>145</v>
      </c>
      <c r="D576" s="96">
        <f>D577+D582+D592+D603+D616+D623</f>
        <v>142865.69999999998</v>
      </c>
      <c r="E576" s="96">
        <f>E577+E582+E592+E603+E616+E623</f>
        <v>126374.5</v>
      </c>
      <c r="F576" s="96">
        <f>F577+F582+F592+F603+F616+F623</f>
        <v>126469.8</v>
      </c>
    </row>
    <row r="577" spans="1:9" x14ac:dyDescent="0.2">
      <c r="A577" s="79">
        <v>9920000000</v>
      </c>
      <c r="B577" s="73"/>
      <c r="C577" s="126" t="s">
        <v>5</v>
      </c>
      <c r="D577" s="39">
        <f t="shared" ref="D577:F577" si="183">D578</f>
        <v>500</v>
      </c>
      <c r="E577" s="39">
        <f t="shared" si="183"/>
        <v>500</v>
      </c>
      <c r="F577" s="39">
        <f t="shared" si="183"/>
        <v>500</v>
      </c>
    </row>
    <row r="578" spans="1:9" ht="16.5" customHeight="1" x14ac:dyDescent="0.2">
      <c r="A578" s="79">
        <v>9920026100</v>
      </c>
      <c r="B578" s="21"/>
      <c r="C578" s="99" t="s">
        <v>11</v>
      </c>
      <c r="D578" s="39">
        <f>SUM(D579:D581)</f>
        <v>500</v>
      </c>
      <c r="E578" s="39">
        <f t="shared" ref="E578:F578" si="184">SUM(E579:E581)</f>
        <v>500</v>
      </c>
      <c r="F578" s="39">
        <f t="shared" si="184"/>
        <v>500</v>
      </c>
    </row>
    <row r="579" spans="1:9" x14ac:dyDescent="0.2">
      <c r="A579" s="79">
        <v>9920026100</v>
      </c>
      <c r="B579" s="82" t="s">
        <v>771</v>
      </c>
      <c r="C579" s="98" t="s">
        <v>85</v>
      </c>
      <c r="D579" s="39">
        <v>153.69999999999999</v>
      </c>
      <c r="E579" s="39">
        <v>0</v>
      </c>
      <c r="F579" s="39">
        <v>0</v>
      </c>
    </row>
    <row r="580" spans="1:9" x14ac:dyDescent="0.2">
      <c r="A580" s="79">
        <v>9920026100</v>
      </c>
      <c r="B580" s="82" t="s">
        <v>81</v>
      </c>
      <c r="C580" s="98" t="s">
        <v>82</v>
      </c>
      <c r="D580" s="39">
        <v>100</v>
      </c>
      <c r="E580" s="39">
        <v>0</v>
      </c>
      <c r="F580" s="39">
        <v>0</v>
      </c>
    </row>
    <row r="581" spans="1:9" x14ac:dyDescent="0.2">
      <c r="A581" s="79">
        <v>9920026100</v>
      </c>
      <c r="B581" s="16" t="s">
        <v>84</v>
      </c>
      <c r="C581" s="98" t="s">
        <v>85</v>
      </c>
      <c r="D581" s="39">
        <f>500-100-153.7</f>
        <v>246.3</v>
      </c>
      <c r="E581" s="39">
        <v>500</v>
      </c>
      <c r="F581" s="39">
        <v>500</v>
      </c>
    </row>
    <row r="582" spans="1:9" ht="25.5" x14ac:dyDescent="0.2">
      <c r="A582" s="79">
        <v>9930000000</v>
      </c>
      <c r="B582" s="16"/>
      <c r="C582" s="22" t="s">
        <v>40</v>
      </c>
      <c r="D582" s="39">
        <f>D583+D585+D588+D590</f>
        <v>2171.6999999999998</v>
      </c>
      <c r="E582" s="39">
        <f>E583+E585+E588+E590</f>
        <v>2177.6999999999998</v>
      </c>
      <c r="F582" s="39">
        <f>F583+F585+F588+F590</f>
        <v>2273</v>
      </c>
    </row>
    <row r="583" spans="1:9" ht="63.75" x14ac:dyDescent="0.2">
      <c r="A583" s="79">
        <v>9930010510</v>
      </c>
      <c r="B583" s="16"/>
      <c r="C583" s="99" t="s">
        <v>15</v>
      </c>
      <c r="D583" s="39">
        <f>D584</f>
        <v>478.1</v>
      </c>
      <c r="E583" s="39">
        <f t="shared" ref="E583:F583" si="185">E584</f>
        <v>481.7</v>
      </c>
      <c r="F583" s="39">
        <f t="shared" si="185"/>
        <v>485.5</v>
      </c>
    </row>
    <row r="584" spans="1:9" ht="25.5" x14ac:dyDescent="0.2">
      <c r="A584" s="79">
        <v>9930010510</v>
      </c>
      <c r="B584" s="16" t="s">
        <v>62</v>
      </c>
      <c r="C584" s="102" t="s">
        <v>63</v>
      </c>
      <c r="D584" s="39">
        <v>478.1</v>
      </c>
      <c r="E584" s="39">
        <v>481.7</v>
      </c>
      <c r="F584" s="39">
        <v>485.5</v>
      </c>
    </row>
    <row r="585" spans="1:9" ht="38.25" x14ac:dyDescent="0.2">
      <c r="A585" s="79">
        <v>9930010540</v>
      </c>
      <c r="B585" s="16"/>
      <c r="C585" s="99" t="s">
        <v>16</v>
      </c>
      <c r="D585" s="39">
        <f>D586+D587</f>
        <v>271.10000000000002</v>
      </c>
      <c r="E585" s="39">
        <f>E586+E587</f>
        <v>273.2</v>
      </c>
      <c r="F585" s="39">
        <f>F586+F587</f>
        <v>275.3</v>
      </c>
    </row>
    <row r="586" spans="1:9" ht="25.5" x14ac:dyDescent="0.2">
      <c r="A586" s="79">
        <v>9930010540</v>
      </c>
      <c r="B586" s="16" t="s">
        <v>62</v>
      </c>
      <c r="C586" s="102" t="s">
        <v>63</v>
      </c>
      <c r="D586" s="39">
        <v>254.9</v>
      </c>
      <c r="E586" s="39">
        <v>254.9</v>
      </c>
      <c r="F586" s="39">
        <v>254.9</v>
      </c>
    </row>
    <row r="587" spans="1:9" ht="38.25" x14ac:dyDescent="0.2">
      <c r="A587" s="79">
        <v>9930010540</v>
      </c>
      <c r="B587" s="82" t="s">
        <v>211</v>
      </c>
      <c r="C587" s="98" t="s">
        <v>212</v>
      </c>
      <c r="D587" s="39">
        <v>16.2</v>
      </c>
      <c r="E587" s="39">
        <v>18.3</v>
      </c>
      <c r="F587" s="39">
        <v>20.399999999999999</v>
      </c>
    </row>
    <row r="588" spans="1:9" ht="63.75" x14ac:dyDescent="0.2">
      <c r="A588" s="79">
        <v>9930051200</v>
      </c>
      <c r="B588" s="72"/>
      <c r="C588" s="54" t="s">
        <v>281</v>
      </c>
      <c r="D588" s="107">
        <f t="shared" ref="D588:F588" si="186">D589</f>
        <v>8.3000000000000007</v>
      </c>
      <c r="E588" s="107">
        <f t="shared" si="186"/>
        <v>8.6</v>
      </c>
      <c r="F588" s="107">
        <f t="shared" si="186"/>
        <v>98</v>
      </c>
    </row>
    <row r="589" spans="1:9" ht="38.25" x14ac:dyDescent="0.2">
      <c r="A589" s="79">
        <v>9930051200</v>
      </c>
      <c r="B589" s="82" t="s">
        <v>211</v>
      </c>
      <c r="C589" s="98" t="s">
        <v>212</v>
      </c>
      <c r="D589" s="107">
        <v>8.3000000000000007</v>
      </c>
      <c r="E589" s="107">
        <v>8.6</v>
      </c>
      <c r="F589" s="107">
        <v>98</v>
      </c>
    </row>
    <row r="590" spans="1:9" ht="38.25" customHeight="1" x14ac:dyDescent="0.2">
      <c r="A590" s="79">
        <v>9930059302</v>
      </c>
      <c r="B590" s="16"/>
      <c r="C590" s="99" t="s">
        <v>364</v>
      </c>
      <c r="D590" s="39">
        <f>SUM(D591:D591)</f>
        <v>1414.2</v>
      </c>
      <c r="E590" s="39">
        <f>SUM(E591:E591)</f>
        <v>1414.2</v>
      </c>
      <c r="F590" s="39">
        <f>SUM(F591:F591)</f>
        <v>1414.2</v>
      </c>
    </row>
    <row r="591" spans="1:9" ht="25.5" x14ac:dyDescent="0.2">
      <c r="A591" s="79">
        <v>9930059302</v>
      </c>
      <c r="B591" s="16" t="s">
        <v>62</v>
      </c>
      <c r="C591" s="55" t="s">
        <v>63</v>
      </c>
      <c r="D591" s="39">
        <v>1414.2</v>
      </c>
      <c r="E591" s="39">
        <v>1414.2</v>
      </c>
      <c r="F591" s="39">
        <v>1414.2</v>
      </c>
      <c r="I591" s="103"/>
    </row>
    <row r="592" spans="1:9" ht="25.5" x14ac:dyDescent="0.2">
      <c r="A592" s="16" t="s">
        <v>24</v>
      </c>
      <c r="B592" s="16"/>
      <c r="C592" s="99" t="s">
        <v>38</v>
      </c>
      <c r="D592" s="39">
        <f>D593+D595+D599+D601</f>
        <v>8052.4</v>
      </c>
      <c r="E592" s="39">
        <f t="shared" ref="E592:F592" si="187">E593+E595+E599+E601</f>
        <v>1417</v>
      </c>
      <c r="F592" s="39">
        <f t="shared" si="187"/>
        <v>1417</v>
      </c>
    </row>
    <row r="593" spans="1:6" ht="38.25" x14ac:dyDescent="0.2">
      <c r="A593" s="82" t="s">
        <v>568</v>
      </c>
      <c r="B593" s="16"/>
      <c r="C593" s="54" t="s">
        <v>566</v>
      </c>
      <c r="D593" s="41">
        <f>SUM(D594:D594)</f>
        <v>700</v>
      </c>
      <c r="E593" s="41">
        <f>SUM(E594:E594)</f>
        <v>0</v>
      </c>
      <c r="F593" s="41">
        <f>SUM(F594:F594)</f>
        <v>0</v>
      </c>
    </row>
    <row r="594" spans="1:6" x14ac:dyDescent="0.2">
      <c r="A594" s="82" t="s">
        <v>568</v>
      </c>
      <c r="B594" s="21" t="s">
        <v>225</v>
      </c>
      <c r="C594" s="98" t="s">
        <v>224</v>
      </c>
      <c r="D594" s="39">
        <v>700</v>
      </c>
      <c r="E594" s="39">
        <v>0</v>
      </c>
      <c r="F594" s="39">
        <v>0</v>
      </c>
    </row>
    <row r="595" spans="1:6" ht="25.5" x14ac:dyDescent="0.2">
      <c r="A595" s="82" t="s">
        <v>534</v>
      </c>
      <c r="B595" s="16"/>
      <c r="C595" s="99" t="s">
        <v>39</v>
      </c>
      <c r="D595" s="39">
        <f>SUM(D596:D598)</f>
        <v>7027.4</v>
      </c>
      <c r="E595" s="39">
        <f>SUM(E596:E598)</f>
        <v>1417</v>
      </c>
      <c r="F595" s="39">
        <f>SUM(F596:F598)</f>
        <v>1417</v>
      </c>
    </row>
    <row r="596" spans="1:6" ht="38.25" x14ac:dyDescent="0.2">
      <c r="A596" s="82" t="s">
        <v>534</v>
      </c>
      <c r="B596" s="82" t="s">
        <v>211</v>
      </c>
      <c r="C596" s="98" t="s">
        <v>212</v>
      </c>
      <c r="D596" s="39">
        <v>286.2</v>
      </c>
      <c r="E596" s="39">
        <v>287</v>
      </c>
      <c r="F596" s="39">
        <v>287</v>
      </c>
    </row>
    <row r="597" spans="1:6" x14ac:dyDescent="0.2">
      <c r="A597" s="82" t="s">
        <v>534</v>
      </c>
      <c r="B597" s="16" t="s">
        <v>81</v>
      </c>
      <c r="C597" s="98" t="s">
        <v>82</v>
      </c>
      <c r="D597" s="39">
        <v>528</v>
      </c>
      <c r="E597" s="39">
        <v>528</v>
      </c>
      <c r="F597" s="39">
        <v>528</v>
      </c>
    </row>
    <row r="598" spans="1:6" x14ac:dyDescent="0.2">
      <c r="A598" s="82" t="s">
        <v>534</v>
      </c>
      <c r="B598" s="82" t="s">
        <v>131</v>
      </c>
      <c r="C598" s="98" t="s">
        <v>132</v>
      </c>
      <c r="D598" s="39">
        <f>602+4630+40+960-18.8</f>
        <v>6213.2</v>
      </c>
      <c r="E598" s="39">
        <v>602</v>
      </c>
      <c r="F598" s="39">
        <v>602</v>
      </c>
    </row>
    <row r="599" spans="1:6" ht="25.5" x14ac:dyDescent="0.2">
      <c r="A599" s="143">
        <v>9940026500</v>
      </c>
      <c r="B599" s="1"/>
      <c r="C599" s="99" t="s">
        <v>602</v>
      </c>
      <c r="D599" s="39">
        <f>D600</f>
        <v>25</v>
      </c>
      <c r="E599" s="39">
        <f t="shared" ref="E599:F599" si="188">E600</f>
        <v>0</v>
      </c>
      <c r="F599" s="39">
        <f t="shared" si="188"/>
        <v>0</v>
      </c>
    </row>
    <row r="600" spans="1:6" x14ac:dyDescent="0.2">
      <c r="A600" s="143">
        <v>9940026500</v>
      </c>
      <c r="B600" s="82" t="s">
        <v>603</v>
      </c>
      <c r="C600" s="1" t="s">
        <v>604</v>
      </c>
      <c r="D600" s="39">
        <v>25</v>
      </c>
      <c r="E600" s="39">
        <v>0</v>
      </c>
      <c r="F600" s="39">
        <v>0</v>
      </c>
    </row>
    <row r="601" spans="1:6" ht="38.25" x14ac:dyDescent="0.2">
      <c r="A601" s="82" t="s">
        <v>567</v>
      </c>
      <c r="B601" s="16"/>
      <c r="C601" s="54" t="s">
        <v>566</v>
      </c>
      <c r="D601" s="41">
        <f>SUM(D602:D602)</f>
        <v>300</v>
      </c>
      <c r="E601" s="41">
        <f>SUM(E602:E602)</f>
        <v>0</v>
      </c>
      <c r="F601" s="41">
        <f>SUM(F602:F602)</f>
        <v>0</v>
      </c>
    </row>
    <row r="602" spans="1:6" ht="38.25" x14ac:dyDescent="0.2">
      <c r="A602" s="82" t="s">
        <v>567</v>
      </c>
      <c r="B602" s="82" t="s">
        <v>211</v>
      </c>
      <c r="C602" s="98" t="s">
        <v>212</v>
      </c>
      <c r="D602" s="39">
        <v>300</v>
      </c>
      <c r="E602" s="39">
        <v>0</v>
      </c>
      <c r="F602" s="39">
        <v>0</v>
      </c>
    </row>
    <row r="603" spans="1:6" x14ac:dyDescent="0.2">
      <c r="A603" s="82" t="s">
        <v>194</v>
      </c>
      <c r="B603" s="82"/>
      <c r="C603" s="98" t="s">
        <v>285</v>
      </c>
      <c r="D603" s="39">
        <f>D604+D608+D611</f>
        <v>53044.600000000006</v>
      </c>
      <c r="E603" s="39">
        <f>E604+E608+E611</f>
        <v>46088.100000000006</v>
      </c>
      <c r="F603" s="39">
        <f>F604+F608+F611</f>
        <v>46088.100000000006</v>
      </c>
    </row>
    <row r="604" spans="1:6" ht="51" customHeight="1" x14ac:dyDescent="0.2">
      <c r="A604" s="21" t="s">
        <v>535</v>
      </c>
      <c r="B604" s="47"/>
      <c r="C604" s="54" t="s">
        <v>539</v>
      </c>
      <c r="D604" s="41">
        <f>SUM(D605:D607)</f>
        <v>7010</v>
      </c>
      <c r="E604" s="41">
        <f t="shared" ref="E604:F604" si="189">SUM(E605:E607)</f>
        <v>6772.4</v>
      </c>
      <c r="F604" s="41">
        <f t="shared" si="189"/>
        <v>6772.4</v>
      </c>
    </row>
    <row r="605" spans="1:6" ht="25.5" x14ac:dyDescent="0.2">
      <c r="A605" s="21" t="s">
        <v>535</v>
      </c>
      <c r="B605" s="16" t="s">
        <v>64</v>
      </c>
      <c r="C605" s="102" t="s">
        <v>130</v>
      </c>
      <c r="D605" s="41">
        <f>6007.4+237.6</f>
        <v>6245</v>
      </c>
      <c r="E605" s="41">
        <v>6007.4</v>
      </c>
      <c r="F605" s="41">
        <v>6007.4</v>
      </c>
    </row>
    <row r="606" spans="1:6" ht="38.25" x14ac:dyDescent="0.2">
      <c r="A606" s="21" t="s">
        <v>535</v>
      </c>
      <c r="B606" s="82" t="s">
        <v>211</v>
      </c>
      <c r="C606" s="98" t="s">
        <v>212</v>
      </c>
      <c r="D606" s="41">
        <v>760</v>
      </c>
      <c r="E606" s="41">
        <v>760</v>
      </c>
      <c r="F606" s="41">
        <v>760</v>
      </c>
    </row>
    <row r="607" spans="1:6" x14ac:dyDescent="0.2">
      <c r="A607" s="21" t="s">
        <v>535</v>
      </c>
      <c r="B607" s="82" t="s">
        <v>131</v>
      </c>
      <c r="C607" s="98" t="s">
        <v>132</v>
      </c>
      <c r="D607" s="41">
        <v>5</v>
      </c>
      <c r="E607" s="41">
        <v>5</v>
      </c>
      <c r="F607" s="41">
        <v>5</v>
      </c>
    </row>
    <row r="608" spans="1:6" ht="38.25" x14ac:dyDescent="0.2">
      <c r="A608" s="21" t="s">
        <v>536</v>
      </c>
      <c r="B608" s="47"/>
      <c r="C608" s="54" t="s">
        <v>284</v>
      </c>
      <c r="D608" s="41">
        <f>SUM(D609:D610)</f>
        <v>11238.800000000001</v>
      </c>
      <c r="E608" s="41">
        <f>SUM(E609:E610)</f>
        <v>10807.1</v>
      </c>
      <c r="F608" s="41">
        <f>SUM(F609:F610)</f>
        <v>10807.1</v>
      </c>
    </row>
    <row r="609" spans="1:6" ht="25.5" x14ac:dyDescent="0.2">
      <c r="A609" s="21" t="s">
        <v>536</v>
      </c>
      <c r="B609" s="16" t="s">
        <v>64</v>
      </c>
      <c r="C609" s="102" t="s">
        <v>130</v>
      </c>
      <c r="D609" s="41">
        <f>10020.7+431.7</f>
        <v>10452.400000000001</v>
      </c>
      <c r="E609" s="41">
        <v>10020.700000000001</v>
      </c>
      <c r="F609" s="41">
        <v>10020.700000000001</v>
      </c>
    </row>
    <row r="610" spans="1:6" ht="38.25" x14ac:dyDescent="0.2">
      <c r="A610" s="21" t="s">
        <v>536</v>
      </c>
      <c r="B610" s="82" t="s">
        <v>211</v>
      </c>
      <c r="C610" s="98" t="s">
        <v>212</v>
      </c>
      <c r="D610" s="41">
        <v>786.4</v>
      </c>
      <c r="E610" s="41">
        <v>786.4</v>
      </c>
      <c r="F610" s="41">
        <v>786.4</v>
      </c>
    </row>
    <row r="611" spans="1:6" ht="56.25" customHeight="1" x14ac:dyDescent="0.2">
      <c r="A611" s="21" t="s">
        <v>538</v>
      </c>
      <c r="B611" s="47"/>
      <c r="C611" s="54" t="s">
        <v>537</v>
      </c>
      <c r="D611" s="41">
        <f>SUM(D612:D615)</f>
        <v>34795.800000000003</v>
      </c>
      <c r="E611" s="41">
        <f>SUM(E612:E615)</f>
        <v>28508.600000000002</v>
      </c>
      <c r="F611" s="41">
        <f>SUM(F612:F615)</f>
        <v>28508.600000000002</v>
      </c>
    </row>
    <row r="612" spans="1:6" ht="25.5" x14ac:dyDescent="0.2">
      <c r="A612" s="21" t="s">
        <v>538</v>
      </c>
      <c r="B612" s="16" t="s">
        <v>64</v>
      </c>
      <c r="C612" s="102" t="s">
        <v>130</v>
      </c>
      <c r="D612" s="41">
        <f>11105.9+224.2-17.6-16.9</f>
        <v>11295.6</v>
      </c>
      <c r="E612" s="41">
        <v>11105.9</v>
      </c>
      <c r="F612" s="41">
        <v>11105.9</v>
      </c>
    </row>
    <row r="613" spans="1:6" ht="38.25" x14ac:dyDescent="0.2">
      <c r="A613" s="21" t="s">
        <v>538</v>
      </c>
      <c r="B613" s="82" t="s">
        <v>211</v>
      </c>
      <c r="C613" s="98" t="s">
        <v>212</v>
      </c>
      <c r="D613" s="41">
        <f>17241.4+6103.5</f>
        <v>23344.9</v>
      </c>
      <c r="E613" s="41">
        <v>17281.900000000001</v>
      </c>
      <c r="F613" s="41">
        <v>17281.900000000001</v>
      </c>
    </row>
    <row r="614" spans="1:6" ht="30.75" customHeight="1" x14ac:dyDescent="0.2">
      <c r="A614" s="21" t="s">
        <v>538</v>
      </c>
      <c r="B614" s="82" t="s">
        <v>260</v>
      </c>
      <c r="C614" s="98" t="s">
        <v>249</v>
      </c>
      <c r="D614" s="41">
        <f>17.6+16.9</f>
        <v>34.5</v>
      </c>
      <c r="E614" s="41">
        <v>0</v>
      </c>
      <c r="F614" s="41">
        <v>0</v>
      </c>
    </row>
    <row r="615" spans="1:6" x14ac:dyDescent="0.2">
      <c r="A615" s="21" t="s">
        <v>538</v>
      </c>
      <c r="B615" s="82" t="s">
        <v>131</v>
      </c>
      <c r="C615" s="98" t="s">
        <v>132</v>
      </c>
      <c r="D615" s="41">
        <v>120.8</v>
      </c>
      <c r="E615" s="41">
        <v>120.8</v>
      </c>
      <c r="F615" s="41">
        <v>120.8</v>
      </c>
    </row>
    <row r="616" spans="1:6" ht="38.25" x14ac:dyDescent="0.2">
      <c r="A616" s="105">
        <v>9980000000</v>
      </c>
      <c r="B616" s="106"/>
      <c r="C616" s="98" t="s">
        <v>29</v>
      </c>
      <c r="D616" s="107">
        <f>D617+D619</f>
        <v>72478.7</v>
      </c>
      <c r="E616" s="107">
        <f t="shared" ref="E616:F616" si="190">E617+E619</f>
        <v>69807.199999999997</v>
      </c>
      <c r="F616" s="107">
        <f t="shared" si="190"/>
        <v>69807.199999999997</v>
      </c>
    </row>
    <row r="617" spans="1:6" x14ac:dyDescent="0.2">
      <c r="A617" s="79">
        <v>9980022100</v>
      </c>
      <c r="B617" s="16"/>
      <c r="C617" s="22" t="s">
        <v>114</v>
      </c>
      <c r="D617" s="39">
        <f>D618</f>
        <v>2787.2000000000003</v>
      </c>
      <c r="E617" s="39">
        <f t="shared" ref="E617:F617" si="191">E618</f>
        <v>2266.3000000000002</v>
      </c>
      <c r="F617" s="39">
        <f t="shared" si="191"/>
        <v>2266.3000000000002</v>
      </c>
    </row>
    <row r="618" spans="1:6" ht="25.5" x14ac:dyDescent="0.2">
      <c r="A618" s="79">
        <v>9980022100</v>
      </c>
      <c r="B618" s="16" t="s">
        <v>62</v>
      </c>
      <c r="C618" s="99" t="s">
        <v>78</v>
      </c>
      <c r="D618" s="39">
        <f>2266.3+81.4+439.5</f>
        <v>2787.2000000000003</v>
      </c>
      <c r="E618" s="39">
        <v>2266.3000000000002</v>
      </c>
      <c r="F618" s="39">
        <v>2266.3000000000002</v>
      </c>
    </row>
    <row r="619" spans="1:6" x14ac:dyDescent="0.2">
      <c r="A619" s="138">
        <v>9980022200</v>
      </c>
      <c r="B619" s="21"/>
      <c r="C619" s="99" t="s">
        <v>115</v>
      </c>
      <c r="D619" s="39">
        <f>SUM(D620:D622)</f>
        <v>69691.5</v>
      </c>
      <c r="E619" s="39">
        <f t="shared" ref="E619:F619" si="192">SUM(E620:E622)</f>
        <v>67540.899999999994</v>
      </c>
      <c r="F619" s="39">
        <f t="shared" si="192"/>
        <v>67540.899999999994</v>
      </c>
    </row>
    <row r="620" spans="1:6" ht="25.5" x14ac:dyDescent="0.2">
      <c r="A620" s="138">
        <v>9980022200</v>
      </c>
      <c r="B620" s="16" t="s">
        <v>62</v>
      </c>
      <c r="C620" s="55" t="s">
        <v>63</v>
      </c>
      <c r="D620" s="39">
        <f>11196.4+53934.1+1687.7+431.8-27.8-25.4-40</f>
        <v>67156.800000000003</v>
      </c>
      <c r="E620" s="39">
        <f>11196.4+53934.1</f>
        <v>65130.5</v>
      </c>
      <c r="F620" s="39">
        <f>11196.4+53934.1</f>
        <v>65130.5</v>
      </c>
    </row>
    <row r="621" spans="1:6" ht="38.25" x14ac:dyDescent="0.2">
      <c r="A621" s="138">
        <v>9980022200</v>
      </c>
      <c r="B621" s="82" t="s">
        <v>211</v>
      </c>
      <c r="C621" s="98" t="s">
        <v>212</v>
      </c>
      <c r="D621" s="39">
        <f>536.3+1874.1+71.1</f>
        <v>2481.4999999999995</v>
      </c>
      <c r="E621" s="39">
        <f t="shared" ref="E621:F621" si="193">536.3+1874.1</f>
        <v>2410.3999999999996</v>
      </c>
      <c r="F621" s="39">
        <f t="shared" si="193"/>
        <v>2410.3999999999996</v>
      </c>
    </row>
    <row r="622" spans="1:6" ht="24.75" customHeight="1" x14ac:dyDescent="0.2">
      <c r="A622" s="138">
        <v>9980022200</v>
      </c>
      <c r="B622" s="82" t="s">
        <v>260</v>
      </c>
      <c r="C622" s="98" t="s">
        <v>249</v>
      </c>
      <c r="D622" s="39">
        <f>27.8+25.4</f>
        <v>53.2</v>
      </c>
      <c r="E622" s="39">
        <v>0</v>
      </c>
      <c r="F622" s="39">
        <v>0</v>
      </c>
    </row>
    <row r="623" spans="1:6" s="32" customFormat="1" ht="38.25" x14ac:dyDescent="0.2">
      <c r="A623" s="79">
        <v>9990000000</v>
      </c>
      <c r="B623" s="16"/>
      <c r="C623" s="54" t="s">
        <v>28</v>
      </c>
      <c r="D623" s="41">
        <f>D624+D626+D629+D631</f>
        <v>6618.3</v>
      </c>
      <c r="E623" s="41">
        <f t="shared" ref="E623:F623" si="194">E624+E626+E629+E631</f>
        <v>6384.5000000000009</v>
      </c>
      <c r="F623" s="41">
        <f t="shared" si="194"/>
        <v>6384.5000000000009</v>
      </c>
    </row>
    <row r="624" spans="1:6" s="32" customFormat="1" ht="14.25" x14ac:dyDescent="0.2">
      <c r="A624" s="79">
        <v>9990022400</v>
      </c>
      <c r="B624" s="16"/>
      <c r="C624" s="98" t="s">
        <v>139</v>
      </c>
      <c r="D624" s="41">
        <f>D625</f>
        <v>1714.7</v>
      </c>
      <c r="E624" s="41">
        <f>E625</f>
        <v>1652.8</v>
      </c>
      <c r="F624" s="41">
        <f>F625</f>
        <v>1652.8</v>
      </c>
    </row>
    <row r="625" spans="1:6" s="32" customFormat="1" ht="25.5" x14ac:dyDescent="0.2">
      <c r="A625" s="79">
        <v>9990022400</v>
      </c>
      <c r="B625" s="16" t="s">
        <v>62</v>
      </c>
      <c r="C625" s="55" t="s">
        <v>63</v>
      </c>
      <c r="D625" s="39">
        <f>1652.8+61.9</f>
        <v>1714.7</v>
      </c>
      <c r="E625" s="39">
        <v>1652.8</v>
      </c>
      <c r="F625" s="39">
        <v>1652.8</v>
      </c>
    </row>
    <row r="626" spans="1:6" s="32" customFormat="1" ht="25.5" x14ac:dyDescent="0.2">
      <c r="A626" s="79">
        <v>9990022500</v>
      </c>
      <c r="B626" s="21"/>
      <c r="C626" s="99" t="s">
        <v>589</v>
      </c>
      <c r="D626" s="41">
        <f>SUM(D627:D628)</f>
        <v>2828.1</v>
      </c>
      <c r="E626" s="41">
        <f>SUM(E627:E628)</f>
        <v>2767.5</v>
      </c>
      <c r="F626" s="41">
        <f>SUM(F627:F628)</f>
        <v>2767.5</v>
      </c>
    </row>
    <row r="627" spans="1:6" s="32" customFormat="1" ht="25.5" x14ac:dyDescent="0.2">
      <c r="A627" s="79">
        <v>9990022500</v>
      </c>
      <c r="B627" s="16" t="s">
        <v>62</v>
      </c>
      <c r="C627" s="55" t="s">
        <v>63</v>
      </c>
      <c r="D627" s="39">
        <f>2650.5+60.6</f>
        <v>2711.1</v>
      </c>
      <c r="E627" s="39">
        <v>2650.5</v>
      </c>
      <c r="F627" s="39">
        <v>2650.5</v>
      </c>
    </row>
    <row r="628" spans="1:6" s="32" customFormat="1" ht="38.25" x14ac:dyDescent="0.2">
      <c r="A628" s="79">
        <v>9990022500</v>
      </c>
      <c r="B628" s="82" t="s">
        <v>211</v>
      </c>
      <c r="C628" s="98" t="s">
        <v>212</v>
      </c>
      <c r="D628" s="39">
        <f>117+150-150</f>
        <v>117</v>
      </c>
      <c r="E628" s="39">
        <v>117</v>
      </c>
      <c r="F628" s="39">
        <v>117</v>
      </c>
    </row>
    <row r="629" spans="1:6" s="32" customFormat="1" ht="18" customHeight="1" x14ac:dyDescent="0.2">
      <c r="A629" s="79">
        <v>9990022350</v>
      </c>
      <c r="B629" s="16"/>
      <c r="C629" s="98" t="s">
        <v>662</v>
      </c>
      <c r="D629" s="39">
        <f>D630</f>
        <v>1347.8000000000002</v>
      </c>
      <c r="E629" s="39">
        <f t="shared" ref="E629:F629" si="195">E630</f>
        <v>1291.4000000000001</v>
      </c>
      <c r="F629" s="39">
        <f t="shared" si="195"/>
        <v>1291.4000000000001</v>
      </c>
    </row>
    <row r="630" spans="1:6" s="32" customFormat="1" ht="25.5" x14ac:dyDescent="0.2">
      <c r="A630" s="79">
        <v>9990022350</v>
      </c>
      <c r="B630" s="16" t="s">
        <v>62</v>
      </c>
      <c r="C630" s="99" t="s">
        <v>78</v>
      </c>
      <c r="D630" s="39">
        <f>1291.4+56.4</f>
        <v>1347.8000000000002</v>
      </c>
      <c r="E630" s="39">
        <v>1291.4000000000001</v>
      </c>
      <c r="F630" s="39">
        <v>1291.4000000000001</v>
      </c>
    </row>
    <row r="631" spans="1:6" s="32" customFormat="1" ht="25.5" x14ac:dyDescent="0.2">
      <c r="A631" s="79">
        <v>9990022300</v>
      </c>
      <c r="B631" s="21"/>
      <c r="C631" s="99" t="s">
        <v>200</v>
      </c>
      <c r="D631" s="41">
        <f>D632+D633</f>
        <v>727.69999999999993</v>
      </c>
      <c r="E631" s="41">
        <f>E632+E633</f>
        <v>672.8</v>
      </c>
      <c r="F631" s="41">
        <f>F632+F633</f>
        <v>672.8</v>
      </c>
    </row>
    <row r="632" spans="1:6" s="32" customFormat="1" ht="25.5" x14ac:dyDescent="0.2">
      <c r="A632" s="79">
        <v>9990022300</v>
      </c>
      <c r="B632" s="16" t="s">
        <v>62</v>
      </c>
      <c r="C632" s="99" t="s">
        <v>78</v>
      </c>
      <c r="D632" s="39">
        <f>694.3+30.4-15.8</f>
        <v>708.9</v>
      </c>
      <c r="E632" s="39">
        <v>669.3</v>
      </c>
      <c r="F632" s="39">
        <v>669.3</v>
      </c>
    </row>
    <row r="633" spans="1:6" s="32" customFormat="1" ht="38.25" x14ac:dyDescent="0.2">
      <c r="A633" s="79">
        <v>9990022300</v>
      </c>
      <c r="B633" s="82" t="s">
        <v>211</v>
      </c>
      <c r="C633" s="98" t="s">
        <v>212</v>
      </c>
      <c r="D633" s="39">
        <f>50.1-47.1+15.8</f>
        <v>18.8</v>
      </c>
      <c r="E633" s="39">
        <v>3.5</v>
      </c>
      <c r="F633"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Пользователь</cp:lastModifiedBy>
  <cp:lastPrinted>2024-08-23T07:01:06Z</cp:lastPrinted>
  <dcterms:created xsi:type="dcterms:W3CDTF">2007-02-27T13:35:41Z</dcterms:created>
  <dcterms:modified xsi:type="dcterms:W3CDTF">2024-08-23T07:02:30Z</dcterms:modified>
</cp:coreProperties>
</file>